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backupFile="1" codeName="ThisWorkbook"/>
  <mc:AlternateContent xmlns:mc="http://schemas.openxmlformats.org/markup-compatibility/2006">
    <mc:Choice Requires="x15">
      <x15ac:absPath xmlns:x15ac="http://schemas.microsoft.com/office/spreadsheetml/2010/11/ac" url="C:\Users\bbarna\Downloads\"/>
    </mc:Choice>
  </mc:AlternateContent>
  <xr:revisionPtr revIDLastSave="0" documentId="13_ncr:1_{8AFC55DD-FA37-402D-AFBC-4588AB27BB40}" xr6:coauthVersionLast="47" xr6:coauthVersionMax="47" xr10:uidLastSave="{00000000-0000-0000-0000-000000000000}"/>
  <bookViews>
    <workbookView xWindow="28680" yWindow="-120" windowWidth="29040" windowHeight="15840" tabRatio="879" firstSheet="1" activeTab="2" xr2:uid="{00000000-000D-0000-FFFF-FFFF00000000}"/>
  </bookViews>
  <sheets>
    <sheet name="Övezetek, egyéb területek" sheetId="14" state="hidden" r:id="rId1"/>
    <sheet name="Védett övezetek" sheetId="25" r:id="rId2"/>
    <sheet name="Össztömeg-korlátozott övezetek" sheetId="22" r:id="rId3"/>
    <sheet name="euro" sheetId="17" state="hidden" r:id="rId4"/>
    <sheet name="védett övezet árak " sheetId="18" state="hidden" r:id="rId5"/>
    <sheet name="korlátozott övezet árak" sheetId="19" state="hidden" r:id="rId6"/>
    <sheet name="Szorzószámok" sheetId="20" state="hidden" r:id="rId7"/>
    <sheet name="övezetek rendelet szeint" sheetId="21" state="hidden" r:id="rId8"/>
    <sheet name="Munka1" sheetId="23" state="hidden" r:id="rId9"/>
  </sheets>
  <definedNames>
    <definedName name="_xlnm.Database">#REF!</definedName>
    <definedName name="baba">Munka1!$A$1:$A$3</definedName>
    <definedName name="bkva" localSheetId="1">'Védett övezetek'!$L$3</definedName>
    <definedName name="bkva">#REF!</definedName>
    <definedName name="bubu">Munka1!$A$1:$A$3</definedName>
    <definedName name="éjszakai">Munka1!$G$2:$G$3</definedName>
    <definedName name="euro">Munka1!$D$2:$D$8</definedName>
    <definedName name="euró">Munka1!$D$2:$D$8</definedName>
    <definedName name="kedvezmeny">euro!$B$1:$B$4</definedName>
    <definedName name="kombi">Munka1!$K$2:$K$5</definedName>
    <definedName name="mikro">Munka1!$H$2:$H$3</definedName>
    <definedName name="_xlnm.Print_Titles" localSheetId="1">'Védett övezetek'!$5:$5</definedName>
    <definedName name="_xlnm.Print_Area" localSheetId="0">'Övezetek, egyéb területek'!$A$3:$K$32</definedName>
    <definedName name="_xlnm.Print_Area" localSheetId="1">'Védett övezetek'!$A$5:$L$91</definedName>
    <definedName name="szöv">Munka1!$I$2:$I$3</definedName>
    <definedName name="telep">Munka1!$F$2:$F$3</definedName>
    <definedName name="zona">Munka1!$A$1:$B$3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23" l="1"/>
  <c r="B13" i="22"/>
  <c r="A14" i="22"/>
  <c r="G17" i="22" s="1"/>
  <c r="A16" i="22"/>
  <c r="C17" i="22" l="1"/>
  <c r="C18" i="22" s="1"/>
  <c r="C19" i="22" s="1"/>
  <c r="C20" i="22" s="1"/>
  <c r="F21" i="22" s="1"/>
  <c r="F22" i="22" s="1"/>
  <c r="F23" i="22" s="1"/>
  <c r="F24" i="22" s="1"/>
  <c r="F25" i="22" s="1"/>
  <c r="F26" i="22" s="1"/>
  <c r="F27" i="22" s="1"/>
  <c r="F28" i="22" s="1"/>
  <c r="F29" i="22" s="1"/>
  <c r="F30" i="22" s="1"/>
  <c r="F31" i="22" s="1"/>
  <c r="F32" i="22" s="1"/>
  <c r="B17" i="22"/>
  <c r="B18" i="22"/>
  <c r="B19" i="22" s="1"/>
  <c r="B20" i="22" s="1"/>
  <c r="B21" i="22" s="1"/>
  <c r="B22" i="22" s="1"/>
  <c r="B23" i="22" s="1"/>
  <c r="B24" i="22" s="1"/>
  <c r="E25" i="22" s="1"/>
  <c r="E26" i="22" s="1"/>
  <c r="E27" i="22" s="1"/>
  <c r="E28" i="22" s="1"/>
  <c r="E29" i="22" s="1"/>
  <c r="E30" i="22" s="1"/>
  <c r="E31" i="22" s="1"/>
  <c r="E32" i="22" s="1"/>
  <c r="E33" i="22" s="1"/>
  <c r="E34" i="22" s="1"/>
  <c r="E35" i="22" s="1"/>
  <c r="E36" i="22" s="1"/>
  <c r="G18" i="22"/>
  <c r="G19" i="22" s="1"/>
  <c r="G20" i="22" s="1"/>
  <c r="G21" i="22" s="1"/>
  <c r="G22" i="22" s="1"/>
  <c r="G23" i="22" s="1"/>
  <c r="G24" i="22" s="1"/>
  <c r="G25" i="22" s="1"/>
  <c r="G26" i="22" s="1"/>
  <c r="G27" i="22" s="1"/>
  <c r="G28" i="22" s="1"/>
  <c r="J28" i="22" s="1"/>
  <c r="J29" i="22" s="1"/>
  <c r="J30" i="22" s="1"/>
  <c r="J31" i="22" s="1"/>
  <c r="J32" i="22" s="1"/>
  <c r="J33" i="22" s="1"/>
  <c r="J34" i="22" s="1"/>
  <c r="J35" i="22" s="1"/>
  <c r="J36" i="22" s="1"/>
  <c r="J37" i="22" s="1"/>
  <c r="J38" i="22" s="1"/>
  <c r="J39" i="22" s="1"/>
  <c r="J40" i="22" s="1"/>
  <c r="J41" i="22" s="1"/>
  <c r="J42" i="22" s="1"/>
  <c r="J43" i="22" s="1"/>
  <c r="J44" i="22" s="1"/>
  <c r="B25" i="22" l="1"/>
  <c r="C21" i="22"/>
  <c r="H37" i="22"/>
  <c r="H38" i="22" s="1"/>
  <c r="H39" i="22" s="1"/>
  <c r="H40" i="22" s="1"/>
  <c r="H41" i="22" s="1"/>
  <c r="H42" i="22" s="1"/>
  <c r="H43" i="22" s="1"/>
  <c r="H44" i="22" s="1"/>
  <c r="H45" i="22" s="1"/>
  <c r="H46" i="22" s="1"/>
  <c r="H47" i="22" s="1"/>
  <c r="H48" i="22" s="1"/>
  <c r="H49" i="22" s="1"/>
  <c r="H50" i="22" s="1"/>
  <c r="H51" i="22" s="1"/>
  <c r="H52" i="22" s="1"/>
  <c r="H53" i="22" s="1"/>
  <c r="E37" i="22"/>
  <c r="I33" i="22"/>
  <c r="I34" i="22" s="1"/>
  <c r="I35" i="22" s="1"/>
  <c r="I36" i="22" s="1"/>
  <c r="I37" i="22" s="1"/>
  <c r="I38" i="22" s="1"/>
  <c r="I39" i="22" s="1"/>
  <c r="I40" i="22" s="1"/>
  <c r="I41" i="22" s="1"/>
  <c r="I42" i="22" s="1"/>
  <c r="I43" i="22" s="1"/>
  <c r="I44" i="22" s="1"/>
  <c r="I45" i="22" s="1"/>
  <c r="I46" i="22" s="1"/>
  <c r="I47" i="22" s="1"/>
  <c r="I48" i="22" s="1"/>
  <c r="I49" i="22" s="1"/>
  <c r="F33" i="22"/>
  <c r="M1" i="23" l="1"/>
  <c r="M2" i="23" s="1"/>
  <c r="M3" i="23" s="1"/>
  <c r="D3" i="22" s="1"/>
  <c r="D27" i="25"/>
  <c r="C27" i="25"/>
  <c r="B4" i="25"/>
  <c r="F4" i="25" s="1"/>
  <c r="C70" i="25"/>
  <c r="D59" i="25"/>
  <c r="D81" i="25"/>
  <c r="C81" i="25"/>
  <c r="C59" i="25"/>
  <c r="D43" i="25"/>
  <c r="C43" i="25"/>
  <c r="D11" i="25"/>
  <c r="C11" i="25"/>
  <c r="J3" i="25"/>
  <c r="H29" i="25" s="1"/>
  <c r="M3" i="25"/>
  <c r="D70" i="25" s="1"/>
  <c r="B3" i="22"/>
  <c r="I7" i="22"/>
  <c r="H7" i="22"/>
  <c r="G7" i="22"/>
  <c r="F7" i="22"/>
  <c r="E7" i="22"/>
  <c r="C178" i="19"/>
  <c r="D178" i="19"/>
  <c r="E178" i="19"/>
  <c r="F178" i="19"/>
  <c r="C179" i="19"/>
  <c r="D179" i="19"/>
  <c r="E179" i="19"/>
  <c r="F179" i="19"/>
  <c r="B179" i="19"/>
  <c r="B178" i="19"/>
  <c r="C173" i="19"/>
  <c r="D173" i="19"/>
  <c r="E173" i="19"/>
  <c r="F173" i="19"/>
  <c r="C174" i="19"/>
  <c r="D174" i="19"/>
  <c r="E174" i="19"/>
  <c r="F174" i="19"/>
  <c r="B174" i="19"/>
  <c r="B173" i="19"/>
  <c r="C168" i="19"/>
  <c r="D168" i="19"/>
  <c r="E168" i="19"/>
  <c r="F168" i="19"/>
  <c r="C169" i="19"/>
  <c r="D169" i="19"/>
  <c r="E169" i="19"/>
  <c r="F169" i="19"/>
  <c r="B169" i="19"/>
  <c r="B168" i="19"/>
  <c r="C163" i="19"/>
  <c r="D163" i="19"/>
  <c r="E163" i="19"/>
  <c r="F163" i="19"/>
  <c r="C164" i="19"/>
  <c r="D164" i="19"/>
  <c r="E164" i="19"/>
  <c r="F164" i="19"/>
  <c r="B164" i="19"/>
  <c r="B163" i="19"/>
  <c r="C159" i="19"/>
  <c r="D159" i="19"/>
  <c r="E159" i="19"/>
  <c r="F159" i="19"/>
  <c r="C158" i="19"/>
  <c r="D158" i="19"/>
  <c r="E158" i="19"/>
  <c r="F158" i="19"/>
  <c r="B159" i="19"/>
  <c r="B158" i="19"/>
  <c r="B154" i="19"/>
  <c r="C154" i="19"/>
  <c r="D154" i="19"/>
  <c r="E154" i="19"/>
  <c r="F154" i="19"/>
  <c r="C153" i="19"/>
  <c r="D153" i="19"/>
  <c r="E153" i="19"/>
  <c r="F153" i="19"/>
  <c r="B153" i="19"/>
  <c r="F147" i="19"/>
  <c r="E147" i="19"/>
  <c r="D147" i="19"/>
  <c r="C147" i="19"/>
  <c r="B147" i="19"/>
  <c r="F146" i="19"/>
  <c r="E146" i="19"/>
  <c r="D146" i="19"/>
  <c r="C146" i="19"/>
  <c r="B146" i="19"/>
  <c r="F145" i="19"/>
  <c r="E145" i="19"/>
  <c r="D145" i="19"/>
  <c r="C145" i="19"/>
  <c r="B145" i="19"/>
  <c r="F144" i="19"/>
  <c r="E144" i="19"/>
  <c r="D144" i="19"/>
  <c r="C144" i="19"/>
  <c r="B144" i="19"/>
  <c r="F143" i="19"/>
  <c r="E143" i="19"/>
  <c r="D143" i="19"/>
  <c r="C143" i="19"/>
  <c r="B143" i="19"/>
  <c r="F142" i="19"/>
  <c r="E142" i="19"/>
  <c r="D142" i="19"/>
  <c r="C142" i="19"/>
  <c r="B142" i="19"/>
  <c r="F141" i="19"/>
  <c r="E141" i="19"/>
  <c r="D141" i="19"/>
  <c r="C141" i="19"/>
  <c r="B141" i="19"/>
  <c r="F137" i="19"/>
  <c r="E137" i="19"/>
  <c r="D137" i="19"/>
  <c r="C137" i="19"/>
  <c r="B137" i="19"/>
  <c r="F136" i="19"/>
  <c r="E136" i="19"/>
  <c r="D136" i="19"/>
  <c r="C136" i="19"/>
  <c r="B136" i="19"/>
  <c r="F135" i="19"/>
  <c r="E135" i="19"/>
  <c r="D135" i="19"/>
  <c r="C135" i="19"/>
  <c r="B135" i="19"/>
  <c r="F134" i="19"/>
  <c r="E134" i="19"/>
  <c r="D134" i="19"/>
  <c r="C134" i="19"/>
  <c r="B134" i="19"/>
  <c r="F133" i="19"/>
  <c r="E133" i="19"/>
  <c r="D133" i="19"/>
  <c r="C133" i="19"/>
  <c r="B133" i="19"/>
  <c r="F132" i="19"/>
  <c r="E132" i="19"/>
  <c r="D132" i="19"/>
  <c r="C132" i="19"/>
  <c r="B132" i="19"/>
  <c r="F131" i="19"/>
  <c r="E131" i="19"/>
  <c r="D131" i="19"/>
  <c r="C131" i="19"/>
  <c r="B131" i="19"/>
  <c r="F127" i="19"/>
  <c r="E127" i="19"/>
  <c r="D127" i="19"/>
  <c r="C127" i="19"/>
  <c r="B127" i="19"/>
  <c r="F126" i="19"/>
  <c r="E126" i="19"/>
  <c r="D126" i="19"/>
  <c r="C126" i="19"/>
  <c r="B126" i="19"/>
  <c r="F125" i="19"/>
  <c r="E125" i="19"/>
  <c r="D125" i="19"/>
  <c r="C125" i="19"/>
  <c r="B125" i="19"/>
  <c r="F124" i="19"/>
  <c r="E124" i="19"/>
  <c r="D124" i="19"/>
  <c r="C124" i="19"/>
  <c r="B124" i="19"/>
  <c r="F123" i="19"/>
  <c r="E123" i="19"/>
  <c r="D123" i="19"/>
  <c r="C123" i="19"/>
  <c r="B123" i="19"/>
  <c r="F122" i="19"/>
  <c r="E122" i="19"/>
  <c r="D122" i="19"/>
  <c r="C122" i="19"/>
  <c r="B122" i="19"/>
  <c r="F121" i="19"/>
  <c r="E121" i="19"/>
  <c r="D121" i="19"/>
  <c r="C121" i="19"/>
  <c r="B121" i="19"/>
  <c r="F117" i="19"/>
  <c r="E117" i="19"/>
  <c r="D117" i="19"/>
  <c r="C117" i="19"/>
  <c r="B117" i="19"/>
  <c r="F116" i="19"/>
  <c r="E116" i="19"/>
  <c r="D116" i="19"/>
  <c r="C116" i="19"/>
  <c r="B116" i="19"/>
  <c r="F115" i="19"/>
  <c r="E115" i="19"/>
  <c r="D115" i="19"/>
  <c r="C115" i="19"/>
  <c r="B115" i="19"/>
  <c r="F114" i="19"/>
  <c r="E114" i="19"/>
  <c r="D114" i="19"/>
  <c r="C114" i="19"/>
  <c r="B114" i="19"/>
  <c r="F113" i="19"/>
  <c r="E113" i="19"/>
  <c r="D113" i="19"/>
  <c r="C113" i="19"/>
  <c r="B113" i="19"/>
  <c r="F112" i="19"/>
  <c r="E112" i="19"/>
  <c r="D112" i="19"/>
  <c r="C112" i="19"/>
  <c r="B112" i="19"/>
  <c r="F111" i="19"/>
  <c r="E111" i="19"/>
  <c r="D111" i="19"/>
  <c r="C111" i="19"/>
  <c r="B111" i="19"/>
  <c r="F107" i="19"/>
  <c r="E107" i="19"/>
  <c r="D107" i="19"/>
  <c r="C107" i="19"/>
  <c r="B107" i="19"/>
  <c r="F106" i="19"/>
  <c r="E106" i="19"/>
  <c r="D106" i="19"/>
  <c r="C106" i="19"/>
  <c r="B106" i="19"/>
  <c r="F105" i="19"/>
  <c r="E105" i="19"/>
  <c r="D105" i="19"/>
  <c r="C105" i="19"/>
  <c r="B105" i="19"/>
  <c r="F104" i="19"/>
  <c r="E104" i="19"/>
  <c r="D104" i="19"/>
  <c r="C104" i="19"/>
  <c r="B104" i="19"/>
  <c r="F103" i="19"/>
  <c r="E103" i="19"/>
  <c r="D103" i="19"/>
  <c r="C103" i="19"/>
  <c r="B103" i="19"/>
  <c r="F102" i="19"/>
  <c r="E102" i="19"/>
  <c r="D102" i="19"/>
  <c r="C102" i="19"/>
  <c r="B102" i="19"/>
  <c r="F101" i="19"/>
  <c r="E101" i="19"/>
  <c r="D101" i="19"/>
  <c r="C101" i="19"/>
  <c r="B101" i="19"/>
  <c r="E97" i="19"/>
  <c r="E96" i="19"/>
  <c r="E95" i="19"/>
  <c r="E94" i="19"/>
  <c r="E93" i="19"/>
  <c r="D96" i="19"/>
  <c r="D97" i="19"/>
  <c r="D95" i="19"/>
  <c r="D94" i="19"/>
  <c r="D93" i="19"/>
  <c r="C97" i="19"/>
  <c r="C96" i="19"/>
  <c r="C95" i="19"/>
  <c r="C94" i="19"/>
  <c r="C93" i="19"/>
  <c r="B97" i="19"/>
  <c r="B96" i="19"/>
  <c r="B95" i="19"/>
  <c r="B94" i="19"/>
  <c r="B93" i="19"/>
  <c r="F97" i="19"/>
  <c r="F96" i="19"/>
  <c r="F95" i="19"/>
  <c r="F94" i="19"/>
  <c r="F93" i="19"/>
  <c r="F92" i="19"/>
  <c r="E92" i="19"/>
  <c r="D92" i="19"/>
  <c r="C92" i="19"/>
  <c r="B92" i="19"/>
  <c r="F91" i="19"/>
  <c r="E91" i="19"/>
  <c r="D91" i="19"/>
  <c r="C91" i="19"/>
  <c r="B91" i="19"/>
  <c r="H85" i="19"/>
  <c r="G85" i="19"/>
  <c r="F85" i="19"/>
  <c r="E85" i="19"/>
  <c r="D85" i="19"/>
  <c r="C85" i="19"/>
  <c r="B85" i="19"/>
  <c r="H84" i="19"/>
  <c r="G84" i="19"/>
  <c r="F84" i="19"/>
  <c r="E84" i="19"/>
  <c r="D84" i="19"/>
  <c r="C84" i="19"/>
  <c r="B84" i="19"/>
  <c r="H83" i="19"/>
  <c r="G83" i="19"/>
  <c r="F83" i="19"/>
  <c r="E83" i="19"/>
  <c r="D83" i="19"/>
  <c r="C83" i="19"/>
  <c r="B83" i="19"/>
  <c r="H79" i="19"/>
  <c r="G79" i="19"/>
  <c r="F79" i="19"/>
  <c r="E79" i="19"/>
  <c r="D79" i="19"/>
  <c r="C79" i="19"/>
  <c r="B79" i="19"/>
  <c r="H78" i="19"/>
  <c r="G78" i="19"/>
  <c r="F78" i="19"/>
  <c r="E78" i="19"/>
  <c r="D78" i="19"/>
  <c r="C78" i="19"/>
  <c r="B78" i="19"/>
  <c r="H77" i="19"/>
  <c r="G77" i="19"/>
  <c r="F77" i="19"/>
  <c r="E77" i="19"/>
  <c r="D77" i="19"/>
  <c r="C77" i="19"/>
  <c r="B77" i="19"/>
  <c r="H73" i="19"/>
  <c r="G73" i="19"/>
  <c r="F73" i="19"/>
  <c r="E73" i="19"/>
  <c r="D73" i="19"/>
  <c r="C73" i="19"/>
  <c r="B73" i="19"/>
  <c r="H72" i="19"/>
  <c r="G72" i="19"/>
  <c r="F72" i="19"/>
  <c r="E72" i="19"/>
  <c r="D72" i="19"/>
  <c r="C72" i="19"/>
  <c r="B72" i="19"/>
  <c r="H71" i="19"/>
  <c r="G71" i="19"/>
  <c r="F71" i="19"/>
  <c r="E71" i="19"/>
  <c r="D71" i="19"/>
  <c r="C71" i="19"/>
  <c r="B71" i="19"/>
  <c r="H67" i="19"/>
  <c r="G67" i="19"/>
  <c r="F67" i="19"/>
  <c r="E67" i="19"/>
  <c r="D67" i="19"/>
  <c r="C67" i="19"/>
  <c r="B67" i="19"/>
  <c r="H66" i="19"/>
  <c r="G66" i="19"/>
  <c r="F66" i="19"/>
  <c r="E66" i="19"/>
  <c r="D66" i="19"/>
  <c r="C66" i="19"/>
  <c r="B66" i="19"/>
  <c r="H65" i="19"/>
  <c r="G65" i="19"/>
  <c r="F65" i="19"/>
  <c r="E65" i="19"/>
  <c r="D65" i="19"/>
  <c r="C65" i="19"/>
  <c r="B65" i="19"/>
  <c r="H61" i="19"/>
  <c r="G61" i="19"/>
  <c r="F61" i="19"/>
  <c r="E61" i="19"/>
  <c r="D61" i="19"/>
  <c r="C61" i="19"/>
  <c r="B61" i="19"/>
  <c r="H60" i="19"/>
  <c r="G60" i="19"/>
  <c r="F60" i="19"/>
  <c r="E60" i="19"/>
  <c r="D60" i="19"/>
  <c r="C60" i="19"/>
  <c r="B60" i="19"/>
  <c r="H59" i="19"/>
  <c r="G59" i="19"/>
  <c r="F59" i="19"/>
  <c r="E59" i="19"/>
  <c r="D59" i="19"/>
  <c r="C59" i="19"/>
  <c r="B59" i="19"/>
  <c r="H53" i="19"/>
  <c r="H52" i="19"/>
  <c r="H51" i="19"/>
  <c r="G53" i="19"/>
  <c r="G52" i="19"/>
  <c r="G51" i="19"/>
  <c r="F53" i="19"/>
  <c r="F52" i="19"/>
  <c r="F51" i="19"/>
  <c r="E53" i="19"/>
  <c r="E52" i="19"/>
  <c r="E51" i="19"/>
  <c r="D53" i="19"/>
  <c r="D52" i="19"/>
  <c r="D51" i="19"/>
  <c r="C53" i="19"/>
  <c r="C52" i="19"/>
  <c r="C51" i="19"/>
  <c r="B53" i="19"/>
  <c r="B52" i="19"/>
  <c r="B51" i="19"/>
  <c r="I25" i="14"/>
  <c r="I26" i="14" s="1"/>
  <c r="J25" i="14"/>
  <c r="K25" i="14"/>
  <c r="K26" i="14" s="1"/>
  <c r="L25" i="14"/>
  <c r="L26" i="14"/>
  <c r="L27" i="14" s="1"/>
  <c r="H25" i="14"/>
  <c r="H26" i="14" s="1"/>
  <c r="H27" i="14" s="1"/>
  <c r="I21" i="14"/>
  <c r="I22" i="14" s="1"/>
  <c r="I23" i="14" s="1"/>
  <c r="J21" i="14"/>
  <c r="J22" i="14" s="1"/>
  <c r="J23" i="14" s="1"/>
  <c r="K21" i="14"/>
  <c r="K22" i="14" s="1"/>
  <c r="K23" i="14" s="1"/>
  <c r="L21" i="14"/>
  <c r="L22" i="14" s="1"/>
  <c r="L23" i="14" s="1"/>
  <c r="H21" i="14"/>
  <c r="H22" i="14" s="1"/>
  <c r="H23" i="14" s="1"/>
  <c r="I16" i="14"/>
  <c r="I17" i="14" s="1"/>
  <c r="I18" i="14" s="1"/>
  <c r="J16" i="14"/>
  <c r="J17" i="14" s="1"/>
  <c r="J18" i="14" s="1"/>
  <c r="K16" i="14"/>
  <c r="K17" i="14" s="1"/>
  <c r="K18" i="14" s="1"/>
  <c r="L16" i="14"/>
  <c r="L17" i="14" s="1"/>
  <c r="L18" i="14" s="1"/>
  <c r="H16" i="14"/>
  <c r="H17" i="14" s="1"/>
  <c r="H18" i="14" s="1"/>
  <c r="F12" i="14"/>
  <c r="F13" i="14" s="1"/>
  <c r="F14" i="14" s="1"/>
  <c r="L12" i="14"/>
  <c r="K12" i="14"/>
  <c r="K13" i="14" s="1"/>
  <c r="K14" i="14" s="1"/>
  <c r="J12" i="14"/>
  <c r="J13" i="14" s="1"/>
  <c r="J14" i="14" s="1"/>
  <c r="I12" i="14"/>
  <c r="I13" i="14" s="1"/>
  <c r="I14" i="14" s="1"/>
  <c r="H12" i="14"/>
  <c r="G12" i="14"/>
  <c r="G13" i="14" s="1"/>
  <c r="G14" i="14" s="1"/>
  <c r="D8" i="14"/>
  <c r="D9" i="14" s="1"/>
  <c r="D10" i="14" s="1"/>
  <c r="H45" i="19"/>
  <c r="G45" i="19"/>
  <c r="F45" i="19"/>
  <c r="E45" i="19"/>
  <c r="D45" i="19"/>
  <c r="C45" i="19"/>
  <c r="B45" i="19"/>
  <c r="H44" i="19"/>
  <c r="G44" i="19"/>
  <c r="F44" i="19"/>
  <c r="E44" i="19"/>
  <c r="D44" i="19"/>
  <c r="C44" i="19"/>
  <c r="B44" i="19"/>
  <c r="H43" i="19"/>
  <c r="G43" i="19"/>
  <c r="F43" i="19"/>
  <c r="E43" i="19"/>
  <c r="D43" i="19"/>
  <c r="C43" i="19"/>
  <c r="B43" i="19"/>
  <c r="H42" i="19"/>
  <c r="G42" i="19"/>
  <c r="F42" i="19"/>
  <c r="E42" i="19"/>
  <c r="D42" i="19"/>
  <c r="C42" i="19"/>
  <c r="B42" i="19"/>
  <c r="H38" i="19"/>
  <c r="G38" i="19"/>
  <c r="F38" i="19"/>
  <c r="E38" i="19"/>
  <c r="D38" i="19"/>
  <c r="C38" i="19"/>
  <c r="B38" i="19"/>
  <c r="H37" i="19"/>
  <c r="G37" i="19"/>
  <c r="F37" i="19"/>
  <c r="E37" i="19"/>
  <c r="D37" i="19"/>
  <c r="C37" i="19"/>
  <c r="B37" i="19"/>
  <c r="H36" i="19"/>
  <c r="G36" i="19"/>
  <c r="F36" i="19"/>
  <c r="E36" i="19"/>
  <c r="D36" i="19"/>
  <c r="C36" i="19"/>
  <c r="B36" i="19"/>
  <c r="H35" i="19"/>
  <c r="G35" i="19"/>
  <c r="F35" i="19"/>
  <c r="E35" i="19"/>
  <c r="D35" i="19"/>
  <c r="C35" i="19"/>
  <c r="B35" i="19"/>
  <c r="H31" i="19"/>
  <c r="G31" i="19"/>
  <c r="F31" i="19"/>
  <c r="E31" i="19"/>
  <c r="D31" i="19"/>
  <c r="C31" i="19"/>
  <c r="B31" i="19"/>
  <c r="H30" i="19"/>
  <c r="G30" i="19"/>
  <c r="F30" i="19"/>
  <c r="E30" i="19"/>
  <c r="D30" i="19"/>
  <c r="C30" i="19"/>
  <c r="B30" i="19"/>
  <c r="H29" i="19"/>
  <c r="G29" i="19"/>
  <c r="F29" i="19"/>
  <c r="E29" i="19"/>
  <c r="D29" i="19"/>
  <c r="C29" i="19"/>
  <c r="B29" i="19"/>
  <c r="H28" i="19"/>
  <c r="G28" i="19"/>
  <c r="F28" i="19"/>
  <c r="E28" i="19"/>
  <c r="D28" i="19"/>
  <c r="C28" i="19"/>
  <c r="B28" i="19"/>
  <c r="H24" i="19"/>
  <c r="G24" i="19"/>
  <c r="F24" i="19"/>
  <c r="E24" i="19"/>
  <c r="D24" i="19"/>
  <c r="C24" i="19"/>
  <c r="B24" i="19"/>
  <c r="H23" i="19"/>
  <c r="G23" i="19"/>
  <c r="F23" i="19"/>
  <c r="E23" i="19"/>
  <c r="D23" i="19"/>
  <c r="C23" i="19"/>
  <c r="B23" i="19"/>
  <c r="H22" i="19"/>
  <c r="G22" i="19"/>
  <c r="F22" i="19"/>
  <c r="E22" i="19"/>
  <c r="D22" i="19"/>
  <c r="C22" i="19"/>
  <c r="B22" i="19"/>
  <c r="H21" i="19"/>
  <c r="G21" i="19"/>
  <c r="F21" i="19"/>
  <c r="E21" i="19"/>
  <c r="D21" i="19"/>
  <c r="C21" i="19"/>
  <c r="B21" i="19"/>
  <c r="H17" i="19"/>
  <c r="G17" i="19"/>
  <c r="F17" i="19"/>
  <c r="E17" i="19"/>
  <c r="D17" i="19"/>
  <c r="C17" i="19"/>
  <c r="B17" i="19"/>
  <c r="H16" i="19"/>
  <c r="G16" i="19"/>
  <c r="F16" i="19"/>
  <c r="E16" i="19"/>
  <c r="D16" i="19"/>
  <c r="C16" i="19"/>
  <c r="B16" i="19"/>
  <c r="H15" i="19"/>
  <c r="G15" i="19"/>
  <c r="F15" i="19"/>
  <c r="E15" i="19"/>
  <c r="D15" i="19"/>
  <c r="C15" i="19"/>
  <c r="B15" i="19"/>
  <c r="H14" i="19"/>
  <c r="G14" i="19"/>
  <c r="F14" i="19"/>
  <c r="E14" i="19"/>
  <c r="D14" i="19"/>
  <c r="C14" i="19"/>
  <c r="B14" i="19"/>
  <c r="H10" i="19"/>
  <c r="H9" i="19"/>
  <c r="H8" i="19"/>
  <c r="H7" i="19"/>
  <c r="G10" i="19"/>
  <c r="G9" i="19"/>
  <c r="G8" i="19"/>
  <c r="G7" i="19"/>
  <c r="F10" i="19"/>
  <c r="F9" i="19"/>
  <c r="F8" i="19"/>
  <c r="F7" i="19"/>
  <c r="E10" i="19"/>
  <c r="E9" i="19"/>
  <c r="E8" i="19"/>
  <c r="E7" i="19"/>
  <c r="D10" i="19"/>
  <c r="D9" i="19"/>
  <c r="D8" i="19"/>
  <c r="D7" i="19"/>
  <c r="C10" i="19"/>
  <c r="C9" i="19"/>
  <c r="C8" i="19"/>
  <c r="C7" i="19"/>
  <c r="B10" i="19"/>
  <c r="B9" i="19"/>
  <c r="B8" i="19"/>
  <c r="B7" i="19"/>
  <c r="E8" i="14"/>
  <c r="E9" i="14" s="1"/>
  <c r="E10" i="14" s="1"/>
  <c r="F8" i="14"/>
  <c r="G8" i="14"/>
  <c r="H8" i="14"/>
  <c r="H9" i="14" s="1"/>
  <c r="H10" i="14" s="1"/>
  <c r="I8" i="14"/>
  <c r="I9" i="14" s="1"/>
  <c r="I10" i="14"/>
  <c r="J8" i="14"/>
  <c r="J9" i="14" s="1"/>
  <c r="K8" i="14"/>
  <c r="K9" i="14" s="1"/>
  <c r="K10" i="14" s="1"/>
  <c r="L8" i="14"/>
  <c r="C57" i="18"/>
  <c r="H160" i="18"/>
  <c r="G160" i="18"/>
  <c r="F160" i="18"/>
  <c r="E160" i="18"/>
  <c r="D160" i="18"/>
  <c r="C160" i="18"/>
  <c r="B160" i="18"/>
  <c r="H159" i="18"/>
  <c r="G159" i="18"/>
  <c r="F159" i="18"/>
  <c r="E159" i="18"/>
  <c r="D159" i="18"/>
  <c r="C159" i="18"/>
  <c r="B159" i="18"/>
  <c r="H158" i="18"/>
  <c r="G158" i="18"/>
  <c r="F158" i="18"/>
  <c r="E158" i="18"/>
  <c r="D158" i="18"/>
  <c r="C158" i="18"/>
  <c r="B158" i="18"/>
  <c r="H157" i="18"/>
  <c r="G157" i="18"/>
  <c r="F157" i="18"/>
  <c r="E157" i="18"/>
  <c r="D157" i="18"/>
  <c r="C157" i="18"/>
  <c r="B157" i="18"/>
  <c r="H151" i="18"/>
  <c r="G151" i="18"/>
  <c r="F151" i="18"/>
  <c r="E151" i="18"/>
  <c r="D151" i="18"/>
  <c r="C151" i="18"/>
  <c r="B151" i="18"/>
  <c r="H150" i="18"/>
  <c r="G150" i="18"/>
  <c r="F150" i="18"/>
  <c r="E150" i="18"/>
  <c r="D150" i="18"/>
  <c r="C150" i="18"/>
  <c r="B150" i="18"/>
  <c r="H149" i="18"/>
  <c r="G149" i="18"/>
  <c r="F149" i="18"/>
  <c r="E149" i="18"/>
  <c r="D149" i="18"/>
  <c r="C149" i="18"/>
  <c r="B149" i="18"/>
  <c r="H148" i="18"/>
  <c r="G148" i="18"/>
  <c r="F148" i="18"/>
  <c r="E148" i="18"/>
  <c r="D148" i="18"/>
  <c r="C148" i="18"/>
  <c r="B148" i="18"/>
  <c r="H142" i="18"/>
  <c r="G142" i="18"/>
  <c r="F142" i="18"/>
  <c r="E142" i="18"/>
  <c r="D142" i="18"/>
  <c r="C142" i="18"/>
  <c r="B142" i="18"/>
  <c r="H141" i="18"/>
  <c r="G141" i="18"/>
  <c r="F141" i="18"/>
  <c r="E141" i="18"/>
  <c r="D141" i="18"/>
  <c r="C141" i="18"/>
  <c r="B141" i="18"/>
  <c r="H140" i="18"/>
  <c r="G140" i="18"/>
  <c r="F140" i="18"/>
  <c r="E140" i="18"/>
  <c r="D140" i="18"/>
  <c r="C140" i="18"/>
  <c r="B140" i="18"/>
  <c r="H139" i="18"/>
  <c r="G139" i="18"/>
  <c r="F139" i="18"/>
  <c r="E139" i="18"/>
  <c r="D139" i="18"/>
  <c r="C139" i="18"/>
  <c r="B139" i="18"/>
  <c r="H133" i="18"/>
  <c r="G133" i="18"/>
  <c r="F133" i="18"/>
  <c r="E133" i="18"/>
  <c r="D133" i="18"/>
  <c r="C133" i="18"/>
  <c r="B133" i="18"/>
  <c r="H132" i="18"/>
  <c r="G132" i="18"/>
  <c r="F132" i="18"/>
  <c r="E132" i="18"/>
  <c r="D132" i="18"/>
  <c r="C132" i="18"/>
  <c r="B132" i="18"/>
  <c r="H131" i="18"/>
  <c r="G131" i="18"/>
  <c r="F131" i="18"/>
  <c r="E131" i="18"/>
  <c r="D131" i="18"/>
  <c r="C131" i="18"/>
  <c r="B131" i="18"/>
  <c r="H130" i="18"/>
  <c r="G130" i="18"/>
  <c r="F130" i="18"/>
  <c r="E130" i="18"/>
  <c r="D130" i="18"/>
  <c r="C130" i="18"/>
  <c r="B130" i="18"/>
  <c r="H124" i="18"/>
  <c r="G124" i="18"/>
  <c r="F124" i="18"/>
  <c r="E124" i="18"/>
  <c r="D124" i="18"/>
  <c r="C124" i="18"/>
  <c r="B124" i="18"/>
  <c r="H123" i="18"/>
  <c r="G123" i="18"/>
  <c r="F123" i="18"/>
  <c r="E123" i="18"/>
  <c r="D123" i="18"/>
  <c r="C123" i="18"/>
  <c r="B123" i="18"/>
  <c r="H122" i="18"/>
  <c r="G122" i="18"/>
  <c r="F122" i="18"/>
  <c r="E122" i="18"/>
  <c r="D122" i="18"/>
  <c r="C122" i="18"/>
  <c r="B122" i="18"/>
  <c r="H121" i="18"/>
  <c r="G121" i="18"/>
  <c r="F121" i="18"/>
  <c r="E121" i="18"/>
  <c r="D121" i="18"/>
  <c r="C121" i="18"/>
  <c r="B121" i="18"/>
  <c r="H115" i="18"/>
  <c r="H114" i="18"/>
  <c r="H113" i="18"/>
  <c r="H112" i="18"/>
  <c r="G115" i="18"/>
  <c r="G114" i="18"/>
  <c r="G113" i="18"/>
  <c r="G112" i="18"/>
  <c r="F115" i="18"/>
  <c r="F114" i="18"/>
  <c r="F113" i="18"/>
  <c r="F112" i="18"/>
  <c r="E115" i="18"/>
  <c r="E114" i="18"/>
  <c r="E113" i="18"/>
  <c r="E112" i="18"/>
  <c r="D115" i="18"/>
  <c r="D114" i="18"/>
  <c r="D113" i="18"/>
  <c r="D112" i="18"/>
  <c r="C115" i="18"/>
  <c r="C114" i="18"/>
  <c r="C113" i="18"/>
  <c r="C112" i="18"/>
  <c r="H105" i="18"/>
  <c r="G105" i="18"/>
  <c r="F105" i="18"/>
  <c r="E105" i="18"/>
  <c r="D105" i="18"/>
  <c r="C105" i="18"/>
  <c r="B105" i="18"/>
  <c r="H104" i="18"/>
  <c r="G104" i="18"/>
  <c r="F104" i="18"/>
  <c r="E104" i="18"/>
  <c r="D104" i="18"/>
  <c r="C104" i="18"/>
  <c r="B104" i="18"/>
  <c r="H103" i="18"/>
  <c r="G103" i="18"/>
  <c r="F103" i="18"/>
  <c r="E103" i="18"/>
  <c r="D103" i="18"/>
  <c r="C103" i="18"/>
  <c r="B103" i="18"/>
  <c r="H102" i="18"/>
  <c r="G102" i="18"/>
  <c r="F102" i="18"/>
  <c r="E102" i="18"/>
  <c r="D102" i="18"/>
  <c r="C102" i="18"/>
  <c r="B102" i="18"/>
  <c r="H96" i="18"/>
  <c r="G96" i="18"/>
  <c r="F96" i="18"/>
  <c r="E96" i="18"/>
  <c r="D96" i="18"/>
  <c r="C96" i="18"/>
  <c r="B96" i="18"/>
  <c r="H95" i="18"/>
  <c r="G95" i="18"/>
  <c r="F95" i="18"/>
  <c r="E95" i="18"/>
  <c r="D95" i="18"/>
  <c r="C95" i="18"/>
  <c r="B95" i="18"/>
  <c r="H94" i="18"/>
  <c r="G94" i="18"/>
  <c r="F94" i="18"/>
  <c r="E94" i="18"/>
  <c r="D94" i="18"/>
  <c r="C94" i="18"/>
  <c r="B94" i="18"/>
  <c r="H93" i="18"/>
  <c r="G93" i="18"/>
  <c r="F93" i="18"/>
  <c r="E93" i="18"/>
  <c r="D93" i="18"/>
  <c r="C93" i="18"/>
  <c r="B93" i="18"/>
  <c r="H87" i="18"/>
  <c r="G87" i="18"/>
  <c r="F87" i="18"/>
  <c r="E87" i="18"/>
  <c r="D87" i="18"/>
  <c r="C87" i="18"/>
  <c r="B87" i="18"/>
  <c r="H86" i="18"/>
  <c r="G86" i="18"/>
  <c r="F86" i="18"/>
  <c r="E86" i="18"/>
  <c r="D86" i="18"/>
  <c r="C86" i="18"/>
  <c r="B86" i="18"/>
  <c r="H85" i="18"/>
  <c r="G85" i="18"/>
  <c r="F85" i="18"/>
  <c r="E85" i="18"/>
  <c r="D85" i="18"/>
  <c r="C85" i="18"/>
  <c r="B85" i="18"/>
  <c r="H84" i="18"/>
  <c r="G84" i="18"/>
  <c r="F84" i="18"/>
  <c r="E84" i="18"/>
  <c r="D84" i="18"/>
  <c r="C84" i="18"/>
  <c r="B84" i="18"/>
  <c r="H78" i="18"/>
  <c r="G78" i="18"/>
  <c r="F78" i="18"/>
  <c r="E78" i="18"/>
  <c r="D78" i="18"/>
  <c r="C78" i="18"/>
  <c r="B78" i="18"/>
  <c r="H77" i="18"/>
  <c r="G77" i="18"/>
  <c r="F77" i="18"/>
  <c r="E77" i="18"/>
  <c r="D77" i="18"/>
  <c r="C77" i="18"/>
  <c r="B77" i="18"/>
  <c r="H76" i="18"/>
  <c r="G76" i="18"/>
  <c r="F76" i="18"/>
  <c r="E76" i="18"/>
  <c r="D76" i="18"/>
  <c r="C76" i="18"/>
  <c r="B76" i="18"/>
  <c r="H75" i="18"/>
  <c r="G75" i="18"/>
  <c r="F75" i="18"/>
  <c r="E75" i="18"/>
  <c r="D75" i="18"/>
  <c r="C75" i="18"/>
  <c r="B75" i="18"/>
  <c r="H69" i="18"/>
  <c r="G69" i="18"/>
  <c r="F69" i="18"/>
  <c r="E69" i="18"/>
  <c r="D69" i="18"/>
  <c r="C69" i="18"/>
  <c r="B69" i="18"/>
  <c r="H68" i="18"/>
  <c r="G68" i="18"/>
  <c r="F68" i="18"/>
  <c r="E68" i="18"/>
  <c r="D68" i="18"/>
  <c r="C68" i="18"/>
  <c r="B68" i="18"/>
  <c r="H67" i="18"/>
  <c r="G67" i="18"/>
  <c r="F67" i="18"/>
  <c r="E67" i="18"/>
  <c r="D67" i="18"/>
  <c r="C67" i="18"/>
  <c r="B67" i="18"/>
  <c r="H66" i="18"/>
  <c r="G66" i="18"/>
  <c r="F66" i="18"/>
  <c r="E66" i="18"/>
  <c r="D66" i="18"/>
  <c r="C66" i="18"/>
  <c r="B66" i="18"/>
  <c r="H60" i="18"/>
  <c r="H59" i="18"/>
  <c r="H58" i="18"/>
  <c r="H57" i="18"/>
  <c r="G60" i="18"/>
  <c r="G59" i="18"/>
  <c r="G58" i="18"/>
  <c r="G57" i="18"/>
  <c r="F60" i="18"/>
  <c r="F59" i="18"/>
  <c r="F58" i="18"/>
  <c r="F57" i="18"/>
  <c r="E60" i="18"/>
  <c r="E59" i="18"/>
  <c r="E58" i="18"/>
  <c r="E57" i="18"/>
  <c r="D58" i="18"/>
  <c r="D57" i="18"/>
  <c r="D60" i="18"/>
  <c r="D59" i="18"/>
  <c r="C60" i="18"/>
  <c r="C59" i="18"/>
  <c r="C58" i="18"/>
  <c r="B60" i="18"/>
  <c r="B59" i="18"/>
  <c r="B58" i="18"/>
  <c r="B57" i="18"/>
  <c r="H49" i="18"/>
  <c r="G49" i="18"/>
  <c r="F49" i="18"/>
  <c r="E49" i="18"/>
  <c r="D49" i="18"/>
  <c r="C49" i="18"/>
  <c r="B49" i="18"/>
  <c r="D48" i="18"/>
  <c r="C48" i="18"/>
  <c r="B48" i="18"/>
  <c r="D47" i="18"/>
  <c r="C47" i="18"/>
  <c r="B47" i="18"/>
  <c r="D46" i="18"/>
  <c r="C46" i="18"/>
  <c r="B46" i="18"/>
  <c r="H40" i="18"/>
  <c r="G40" i="18"/>
  <c r="F40" i="18"/>
  <c r="E40" i="18"/>
  <c r="D40" i="18"/>
  <c r="C40" i="18"/>
  <c r="B40" i="18"/>
  <c r="D39" i="18"/>
  <c r="C39" i="18"/>
  <c r="B39" i="18"/>
  <c r="D38" i="18"/>
  <c r="C38" i="18"/>
  <c r="B38" i="18"/>
  <c r="D37" i="18"/>
  <c r="C37" i="18"/>
  <c r="B37" i="18"/>
  <c r="H31" i="18"/>
  <c r="G31" i="18"/>
  <c r="F31" i="18"/>
  <c r="E31" i="18"/>
  <c r="D31" i="18"/>
  <c r="C31" i="18"/>
  <c r="B31" i="18"/>
  <c r="D30" i="18"/>
  <c r="C30" i="18"/>
  <c r="B30" i="18"/>
  <c r="D29" i="18"/>
  <c r="C29" i="18"/>
  <c r="B29" i="18"/>
  <c r="D28" i="18"/>
  <c r="C28" i="18"/>
  <c r="B28" i="18"/>
  <c r="H22" i="18"/>
  <c r="G22" i="18"/>
  <c r="F22" i="18"/>
  <c r="E22" i="18"/>
  <c r="D22" i="18"/>
  <c r="C22" i="18"/>
  <c r="B22" i="18"/>
  <c r="D21" i="18"/>
  <c r="C21" i="18"/>
  <c r="B21" i="18"/>
  <c r="D20" i="18"/>
  <c r="C20" i="18"/>
  <c r="B20" i="18"/>
  <c r="D19" i="18"/>
  <c r="C19" i="18"/>
  <c r="B19" i="18"/>
  <c r="B12" i="18"/>
  <c r="B11" i="18"/>
  <c r="B10" i="18"/>
  <c r="H13" i="18"/>
  <c r="G13" i="18"/>
  <c r="F13" i="18"/>
  <c r="E13" i="18"/>
  <c r="D13" i="18"/>
  <c r="B13" i="18"/>
  <c r="B115" i="18"/>
  <c r="C13" i="18"/>
  <c r="D10" i="18"/>
  <c r="C10" i="18"/>
  <c r="C11" i="18"/>
  <c r="D11" i="18"/>
  <c r="D12" i="18"/>
  <c r="C12" i="18"/>
  <c r="B114" i="18"/>
  <c r="B113" i="18"/>
  <c r="B112" i="18"/>
  <c r="L13" i="14"/>
  <c r="L14" i="14" s="1"/>
  <c r="H13" i="14"/>
  <c r="H14" i="14" s="1"/>
  <c r="A4" i="14"/>
  <c r="B4" i="14"/>
  <c r="F9" i="14"/>
  <c r="F10" i="14"/>
  <c r="K27" i="14"/>
  <c r="I27" i="14"/>
  <c r="J26" i="14"/>
  <c r="J27" i="14" s="1"/>
  <c r="L9" i="14"/>
  <c r="L10" i="14" s="1"/>
  <c r="J10" i="14"/>
  <c r="G9" i="14"/>
  <c r="G10" i="14" s="1"/>
  <c r="C4" i="22" l="1"/>
  <c r="G29" i="25"/>
  <c r="G30" i="25" s="1"/>
  <c r="H32" i="25"/>
  <c r="H33" i="25" s="1"/>
  <c r="G32" i="25"/>
  <c r="G33" i="25" s="1"/>
  <c r="E32" i="25"/>
  <c r="E33" i="25" s="1"/>
  <c r="J35" i="25"/>
  <c r="J36" i="25" s="1"/>
  <c r="F35" i="25"/>
  <c r="F36" i="25" s="1"/>
  <c r="E35" i="25"/>
  <c r="E36" i="25" s="1"/>
  <c r="C39" i="25"/>
  <c r="C40" i="25" s="1"/>
  <c r="J29" i="25"/>
  <c r="J30" i="25" s="1"/>
  <c r="F29" i="25"/>
  <c r="F30" i="25" s="1"/>
  <c r="E29" i="25"/>
  <c r="E30" i="25" s="1"/>
  <c r="J32" i="25"/>
  <c r="J33" i="25" s="1"/>
  <c r="F32" i="25"/>
  <c r="F33" i="25" s="1"/>
  <c r="H35" i="25"/>
  <c r="H36" i="25" s="1"/>
  <c r="C29" i="25"/>
  <c r="C30" i="25" s="1"/>
  <c r="C32" i="25"/>
  <c r="C33" i="25" s="1"/>
  <c r="C35" i="25"/>
  <c r="C36" i="25" s="1"/>
  <c r="I29" i="25"/>
  <c r="I30" i="25" s="1"/>
  <c r="I32" i="25"/>
  <c r="I33" i="25" s="1"/>
  <c r="I35" i="25"/>
  <c r="I36" i="25" s="1"/>
  <c r="G35" i="25"/>
  <c r="G36" i="25" s="1"/>
  <c r="D29" i="25"/>
  <c r="D30" i="25" s="1"/>
  <c r="D32" i="25"/>
  <c r="D33" i="25" s="1"/>
  <c r="D35" i="25"/>
  <c r="D36" i="25" s="1"/>
  <c r="H30" i="25"/>
  <c r="F8" i="22"/>
  <c r="D71" i="25"/>
  <c r="C71" i="25"/>
  <c r="K73" i="25"/>
  <c r="K74" i="25" s="1"/>
  <c r="C7" i="25"/>
  <c r="C23" i="25" s="1"/>
  <c r="C24" i="25" s="1"/>
  <c r="I86" i="25"/>
  <c r="I87" i="25" s="1"/>
  <c r="C13" i="25"/>
  <c r="H39" i="25"/>
  <c r="H40" i="25" s="1"/>
  <c r="H83" i="25"/>
  <c r="H84" i="25" s="1"/>
  <c r="E64" i="25"/>
  <c r="E65" i="25" s="1"/>
  <c r="C16" i="25"/>
  <c r="C17" i="25" s="1"/>
  <c r="D45" i="25"/>
  <c r="D46" i="25" s="1"/>
  <c r="J67" i="25"/>
  <c r="J68" i="25" s="1"/>
  <c r="F7" i="25"/>
  <c r="F23" i="25" s="1"/>
  <c r="F24" i="25" s="1"/>
  <c r="C19" i="25"/>
  <c r="C20" i="25" s="1"/>
  <c r="F51" i="25"/>
  <c r="F52" i="25" s="1"/>
  <c r="D83" i="25"/>
  <c r="D84" i="25" s="1"/>
  <c r="J7" i="25"/>
  <c r="J23" i="25" s="1"/>
  <c r="J24" i="25" s="1"/>
  <c r="K55" i="25"/>
  <c r="K56" i="25" s="1"/>
  <c r="G7" i="25"/>
  <c r="G23" i="25" s="1"/>
  <c r="G24" i="25" s="1"/>
  <c r="K7" i="25"/>
  <c r="K23" i="25" s="1"/>
  <c r="K24" i="25" s="1"/>
  <c r="D13" i="25"/>
  <c r="D16" i="25"/>
  <c r="D17" i="25" s="1"/>
  <c r="D19" i="25"/>
  <c r="D20" i="25" s="1"/>
  <c r="D39" i="25"/>
  <c r="D40" i="25" s="1"/>
  <c r="I39" i="25"/>
  <c r="I40" i="25" s="1"/>
  <c r="F45" i="25"/>
  <c r="F46" i="25" s="1"/>
  <c r="E48" i="25"/>
  <c r="E49" i="25" s="1"/>
  <c r="J51" i="25"/>
  <c r="J52" i="25" s="1"/>
  <c r="D61" i="25"/>
  <c r="D62" i="25" s="1"/>
  <c r="I64" i="25"/>
  <c r="I65" i="25" s="1"/>
  <c r="C73" i="25"/>
  <c r="C74" i="25" s="1"/>
  <c r="C77" i="25"/>
  <c r="C78" i="25" s="1"/>
  <c r="I89" i="25"/>
  <c r="I90" i="25" s="1"/>
  <c r="E89" i="25"/>
  <c r="E90" i="25" s="1"/>
  <c r="H86" i="25"/>
  <c r="H87" i="25" s="1"/>
  <c r="D86" i="25"/>
  <c r="D87" i="25" s="1"/>
  <c r="G83" i="25"/>
  <c r="G84" i="25" s="1"/>
  <c r="C83" i="25"/>
  <c r="C84" i="25" s="1"/>
  <c r="J77" i="25"/>
  <c r="J78" i="25" s="1"/>
  <c r="F77" i="25"/>
  <c r="F78" i="25" s="1"/>
  <c r="I67" i="25"/>
  <c r="I68" i="25" s="1"/>
  <c r="E67" i="25"/>
  <c r="E68" i="25" s="1"/>
  <c r="H64" i="25"/>
  <c r="H65" i="25" s="1"/>
  <c r="D64" i="25"/>
  <c r="D65" i="25" s="1"/>
  <c r="G61" i="25"/>
  <c r="G62" i="25" s="1"/>
  <c r="C61" i="25"/>
  <c r="C62" i="25" s="1"/>
  <c r="J55" i="25"/>
  <c r="J56" i="25" s="1"/>
  <c r="F55" i="25"/>
  <c r="F56" i="25" s="1"/>
  <c r="I51" i="25"/>
  <c r="I52" i="25" s="1"/>
  <c r="E51" i="25"/>
  <c r="E52" i="25" s="1"/>
  <c r="H48" i="25"/>
  <c r="H49" i="25" s="1"/>
  <c r="D48" i="25"/>
  <c r="D49" i="25" s="1"/>
  <c r="G45" i="25"/>
  <c r="G46" i="25" s="1"/>
  <c r="C45" i="25"/>
  <c r="C46" i="25" s="1"/>
  <c r="J39" i="25"/>
  <c r="J40" i="25" s="1"/>
  <c r="F39" i="25"/>
  <c r="F40" i="25" s="1"/>
  <c r="H89" i="25"/>
  <c r="H90" i="25" s="1"/>
  <c r="D89" i="25"/>
  <c r="D90" i="25" s="1"/>
  <c r="G86" i="25"/>
  <c r="G87" i="25" s="1"/>
  <c r="C86" i="25"/>
  <c r="C87" i="25" s="1"/>
  <c r="J83" i="25"/>
  <c r="J84" i="25" s="1"/>
  <c r="F83" i="25"/>
  <c r="F84" i="25" s="1"/>
  <c r="I77" i="25"/>
  <c r="I78" i="25" s="1"/>
  <c r="E77" i="25"/>
  <c r="E78" i="25" s="1"/>
  <c r="H67" i="25"/>
  <c r="H68" i="25" s="1"/>
  <c r="D67" i="25"/>
  <c r="D68" i="25" s="1"/>
  <c r="G64" i="25"/>
  <c r="G65" i="25" s="1"/>
  <c r="C64" i="25"/>
  <c r="C65" i="25" s="1"/>
  <c r="J61" i="25"/>
  <c r="J62" i="25" s="1"/>
  <c r="F61" i="25"/>
  <c r="F62" i="25" s="1"/>
  <c r="I55" i="25"/>
  <c r="I56" i="25" s="1"/>
  <c r="E55" i="25"/>
  <c r="E56" i="25" s="1"/>
  <c r="H51" i="25"/>
  <c r="H52" i="25" s="1"/>
  <c r="D51" i="25"/>
  <c r="D52" i="25" s="1"/>
  <c r="G48" i="25"/>
  <c r="G49" i="25" s="1"/>
  <c r="C48" i="25"/>
  <c r="C49" i="25" s="1"/>
  <c r="G89" i="25"/>
  <c r="G90" i="25" s="1"/>
  <c r="C89" i="25"/>
  <c r="C90" i="25" s="1"/>
  <c r="J86" i="25"/>
  <c r="J87" i="25" s="1"/>
  <c r="F86" i="25"/>
  <c r="F87" i="25" s="1"/>
  <c r="I83" i="25"/>
  <c r="I84" i="25" s="1"/>
  <c r="E83" i="25"/>
  <c r="E84" i="25" s="1"/>
  <c r="H77" i="25"/>
  <c r="H78" i="25" s="1"/>
  <c r="D77" i="25"/>
  <c r="D78" i="25" s="1"/>
  <c r="D73" i="25"/>
  <c r="D74" i="25" s="1"/>
  <c r="G67" i="25"/>
  <c r="G68" i="25" s="1"/>
  <c r="C67" i="25"/>
  <c r="C68" i="25" s="1"/>
  <c r="J64" i="25"/>
  <c r="J65" i="25" s="1"/>
  <c r="F64" i="25"/>
  <c r="F65" i="25" s="1"/>
  <c r="I61" i="25"/>
  <c r="I62" i="25" s="1"/>
  <c r="E61" i="25"/>
  <c r="E62" i="25" s="1"/>
  <c r="H55" i="25"/>
  <c r="H56" i="25" s="1"/>
  <c r="D55" i="25"/>
  <c r="D56" i="25" s="1"/>
  <c r="G51" i="25"/>
  <c r="G52" i="25" s="1"/>
  <c r="C51" i="25"/>
  <c r="C52" i="25" s="1"/>
  <c r="J48" i="25"/>
  <c r="J49" i="25" s="1"/>
  <c r="F48" i="25"/>
  <c r="F49" i="25" s="1"/>
  <c r="I45" i="25"/>
  <c r="I46" i="25" s="1"/>
  <c r="E45" i="25"/>
  <c r="E46" i="25" s="1"/>
  <c r="D7" i="25"/>
  <c r="D23" i="25" s="1"/>
  <c r="D24" i="25" s="1"/>
  <c r="H7" i="25"/>
  <c r="H23" i="25" s="1"/>
  <c r="H24" i="25" s="1"/>
  <c r="E13" i="25"/>
  <c r="E16" i="25"/>
  <c r="E17" i="25" s="1"/>
  <c r="E19" i="25"/>
  <c r="E20" i="25" s="1"/>
  <c r="E39" i="25"/>
  <c r="E40" i="25" s="1"/>
  <c r="K39" i="25"/>
  <c r="K40" i="25" s="1"/>
  <c r="H45" i="25"/>
  <c r="H46" i="25" s="1"/>
  <c r="I48" i="25"/>
  <c r="I49" i="25" s="1"/>
  <c r="C55" i="25"/>
  <c r="C56" i="25" s="1"/>
  <c r="H61" i="25"/>
  <c r="H62" i="25" s="1"/>
  <c r="G77" i="25"/>
  <c r="G78" i="25" s="1"/>
  <c r="F89" i="25"/>
  <c r="F90" i="25" s="1"/>
  <c r="E7" i="25"/>
  <c r="E23" i="25" s="1"/>
  <c r="E24" i="25" s="1"/>
  <c r="I7" i="25"/>
  <c r="I23" i="25" s="1"/>
  <c r="I24" i="25" s="1"/>
  <c r="F13" i="25"/>
  <c r="F16" i="25"/>
  <c r="F17" i="25" s="1"/>
  <c r="F19" i="25"/>
  <c r="F20" i="25" s="1"/>
  <c r="G39" i="25"/>
  <c r="G40" i="25" s="1"/>
  <c r="J45" i="25"/>
  <c r="J46" i="25" s="1"/>
  <c r="G55" i="25"/>
  <c r="G56" i="25" s="1"/>
  <c r="F67" i="25"/>
  <c r="F68" i="25" s="1"/>
  <c r="K77" i="25"/>
  <c r="K78" i="25" s="1"/>
  <c r="E86" i="25"/>
  <c r="E87" i="25" s="1"/>
  <c r="J89" i="25"/>
  <c r="J90" i="25" s="1"/>
  <c r="G8" i="22"/>
  <c r="H8" i="22"/>
  <c r="E8" i="22"/>
  <c r="I8" i="22"/>
  <c r="D4" i="14"/>
  <c r="I8" i="25" l="1"/>
  <c r="D8" i="25"/>
  <c r="G8" i="25"/>
  <c r="J8" i="25"/>
  <c r="F8" i="25"/>
  <c r="E8" i="25"/>
  <c r="C8" i="25"/>
  <c r="H8" i="25"/>
  <c r="K8" i="25"/>
  <c r="C14" i="25"/>
  <c r="F14" i="25"/>
  <c r="D14" i="25"/>
  <c r="E14" i="25"/>
  <c r="B4" i="22"/>
  <c r="I4" i="22" s="1"/>
</calcChain>
</file>

<file path=xl/sharedStrings.xml><?xml version="1.0" encoding="utf-8"?>
<sst xmlns="http://schemas.openxmlformats.org/spreadsheetml/2006/main" count="852" uniqueCount="188">
  <si>
    <t>Kezdő dátum</t>
  </si>
  <si>
    <t>Lejárat</t>
  </si>
  <si>
    <t>Kedvezmény</t>
  </si>
  <si>
    <t>ÁFA</t>
  </si>
  <si>
    <t>Egyéb állandó övezeti engedélyek, gyalogos utcák havi ára</t>
  </si>
  <si>
    <t>TIPUS</t>
  </si>
  <si>
    <t>szgk</t>
  </si>
  <si>
    <t>4,5t-ig</t>
  </si>
  <si>
    <t>6t-ig</t>
  </si>
  <si>
    <t>8,5t-ig</t>
  </si>
  <si>
    <t>12t-ig</t>
  </si>
  <si>
    <t>13t-ig</t>
  </si>
  <si>
    <t>16t-ig</t>
  </si>
  <si>
    <t>24t-ig</t>
  </si>
  <si>
    <t>32t-ig</t>
  </si>
  <si>
    <t>32t felett</t>
  </si>
  <si>
    <t>3,5t. Övezet</t>
  </si>
  <si>
    <t>költségtérítés</t>
  </si>
  <si>
    <t>BFFH nettó díj</t>
  </si>
  <si>
    <t>nettó összeg</t>
  </si>
  <si>
    <t>Összesen</t>
  </si>
  <si>
    <t xml:space="preserve">7,5t. övezet </t>
  </si>
  <si>
    <t>12t. Övezet</t>
  </si>
  <si>
    <t>Budai 12t. Kombinált övezet</t>
  </si>
  <si>
    <t>Pesti 12t. Kombinált övezet</t>
  </si>
  <si>
    <t>Napszámoló</t>
  </si>
  <si>
    <t>Napok száma</t>
  </si>
  <si>
    <t>Környezetvédelmi kategória (V9)</t>
  </si>
  <si>
    <t>EURO kedvezmény</t>
  </si>
  <si>
    <t>Áfa</t>
  </si>
  <si>
    <t>A1 alapdíj</t>
  </si>
  <si>
    <t>nettó BKVA</t>
  </si>
  <si>
    <t>3,5t tgk</t>
  </si>
  <si>
    <t>6t tgk</t>
  </si>
  <si>
    <t>12t tgk</t>
  </si>
  <si>
    <t>16t. tgk</t>
  </si>
  <si>
    <t>24t tgk.</t>
  </si>
  <si>
    <t>32t. Tgk</t>
  </si>
  <si>
    <t>Járműszerelvény</t>
  </si>
  <si>
    <t>busz</t>
  </si>
  <si>
    <t>Budai vár</t>
  </si>
  <si>
    <t>Eseti behajtási hozzájárulás</t>
  </si>
  <si>
    <t>Gazdálkodói behajtási hozzájárulás</t>
  </si>
  <si>
    <t>"Közterületen nem várakozhat, 00-24"</t>
  </si>
  <si>
    <t>Áruszállítói behajtási hozzájárulás</t>
  </si>
  <si>
    <t>"18-10</t>
  </si>
  <si>
    <t>Közhasznú áruszállítói behajtási hozzájárulás</t>
  </si>
  <si>
    <t>"18-10+13-15</t>
  </si>
  <si>
    <t>Szervizszolgáltatási behajtási-várakozási hozzájárulás</t>
  </si>
  <si>
    <t>"18-10+10-12</t>
  </si>
  <si>
    <t>Belvárosi védett övezet, Szent István bazilika</t>
  </si>
  <si>
    <t xml:space="preserve"> Magyar Állami Operaház környéke</t>
  </si>
  <si>
    <t>Margitsziget</t>
  </si>
  <si>
    <t>Gazdálkodó behajtási-várakozási</t>
  </si>
  <si>
    <t>"00-24 óráig"
CSAK MARGIT-SZIGET!!!</t>
  </si>
  <si>
    <t>Sportszervezeti behajtási-várakozási hozzájárulás</t>
  </si>
  <si>
    <t>Óbuda, Fő tér; Római part; Óbudai sziget; Népliget; Normafa környéke, Városliget</t>
  </si>
  <si>
    <t>D1</t>
  </si>
  <si>
    <t>Kedvezmények</t>
  </si>
  <si>
    <t>A behajtási díj összesen 
(bruttó)</t>
  </si>
  <si>
    <t>Életkor</t>
  </si>
  <si>
    <t>-</t>
  </si>
  <si>
    <t>Mikrovállalkozói</t>
  </si>
  <si>
    <t>Szövetségi</t>
  </si>
  <si>
    <t>Kombinált</t>
  </si>
  <si>
    <t>Éves díj (nettó)</t>
  </si>
  <si>
    <t>Nincs</t>
  </si>
  <si>
    <t>Nettó díj Kedvezmények nélkül</t>
  </si>
  <si>
    <t>Korlátozás (t)</t>
  </si>
  <si>
    <t>Gépjármű össztömeg (kg)</t>
  </si>
  <si>
    <t>Jármű gyártási éve</t>
  </si>
  <si>
    <t>Megkezdett tonna</t>
  </si>
  <si>
    <t>&lt;12001 kg</t>
  </si>
  <si>
    <t>&lt;24001 kg</t>
  </si>
  <si>
    <t>24000 kg</t>
  </si>
  <si>
    <t>EURO 0-ra nem adható</t>
  </si>
  <si>
    <t>EURO 1-re nem adható</t>
  </si>
  <si>
    <t>EURO 2</t>
  </si>
  <si>
    <t>EURO 3</t>
  </si>
  <si>
    <t>EURO 4</t>
  </si>
  <si>
    <t>EURO 5, vagy jobb</t>
  </si>
  <si>
    <t>elektromos, hybrid, vagy gáz.</t>
  </si>
  <si>
    <t>Forgalmi egyéb adatából számítható a kedvezmény</t>
  </si>
  <si>
    <t>Tisztán elektromos</t>
  </si>
  <si>
    <t>5E</t>
  </si>
  <si>
    <t>elektromos</t>
  </si>
  <si>
    <t>5N</t>
  </si>
  <si>
    <t>plug in</t>
  </si>
  <si>
    <t>5P</t>
  </si>
  <si>
    <t>5Z</t>
  </si>
  <si>
    <t>0 emissziós</t>
  </si>
  <si>
    <t>A védett övezetekbe érvényes behajtási hozzájárulások ÁFA-val növelt tájékoztató árai.</t>
  </si>
  <si>
    <t>A hozzájárulások kiadásának, a megrongálódott, elveszett, ellopott, illetve megsemmisült hozzájárulás vagy a hozzájárulást tanúsító matrica cseréjének költségtérítése + 2000.-Forint.</t>
  </si>
  <si>
    <r>
      <t>Az áruszállítási behajtási-várakozási hozzájárulás, közhasznú áruszállítási behajtási-várakozási hozzájárulás, Szervízszogáltatási behajtási-várakozási hozzájárulás, valamint az eseti behajtási-várakozási hozzájárulás kedvezményei:</t>
    </r>
    <r>
      <rPr>
        <sz val="12"/>
        <rFont val="Arial"/>
        <family val="2"/>
        <charset val="238"/>
      </rPr>
      <t xml:space="preserve">
- ha a kérelmezett gépjármű az EURO 3 környezetvédelmi kategóriának megfelel, akkor a kedvezmény mértéke 10%,
- ha a kérelmezett gépjármű az EURO 4 környezetvédelmi kategóriának megfelel, akkor a kedvezmény mértéke 30%,
- ha a kérelmezett gépjármű az EURO 5 környezetvédelmi kategóriának megfelel, akkor kedvezmény mértéke 50%.
(A táblázat nem a kedvezményekkel csökkentett összegeket tartalmazzza!)</t>
    </r>
  </si>
  <si>
    <t>Hozzájárulás típusa</t>
  </si>
  <si>
    <t xml:space="preserve">Személygépkocsi, autóbusz és tgk 3,5t-ig </t>
  </si>
  <si>
    <t>Tehergépkocsi</t>
  </si>
  <si>
    <t>3,5-6t</t>
  </si>
  <si>
    <t xml:space="preserve">6-12t </t>
  </si>
  <si>
    <t>12-16t</t>
  </si>
  <si>
    <t>16-24t</t>
  </si>
  <si>
    <t xml:space="preserve">24t felett </t>
  </si>
  <si>
    <t>járműszerelvény</t>
  </si>
  <si>
    <t xml:space="preserve">Gaz. beh. hj. </t>
  </si>
  <si>
    <t xml:space="preserve">- </t>
  </si>
  <si>
    <t xml:space="preserve">Ász. beh. hj. </t>
  </si>
  <si>
    <t xml:space="preserve">Köz. ász. beh. hj. </t>
  </si>
  <si>
    <t xml:space="preserve">Szsz. beh-vár. hj. </t>
  </si>
  <si>
    <t xml:space="preserve">eseti beh-vár. hj. </t>
  </si>
  <si>
    <t xml:space="preserve">Eseti beh-vár. hj. </t>
  </si>
  <si>
    <t>V. kerület belső harmada, Szent István-Bazilika környéke, Magyar Állami Operaház környéke, Margit-sziget</t>
  </si>
  <si>
    <t>Óbudai Fő tér környéke, Római-part, Óbudai-sziget, Népliget, Normafa környéke, Városliget</t>
  </si>
  <si>
    <t xml:space="preserve">12-16t </t>
  </si>
  <si>
    <t xml:space="preserve">24-32t </t>
  </si>
  <si>
    <t xml:space="preserve">32t felett </t>
  </si>
  <si>
    <t>Gaz. beh. hj.:</t>
  </si>
  <si>
    <t>Gazdálkodói behajtási hozzájárulás  behajtási díja</t>
  </si>
  <si>
    <t xml:space="preserve">Ász. beh. hj.: </t>
  </si>
  <si>
    <t>Áruszállítási behajtási hozzájárulás  behajtási díja</t>
  </si>
  <si>
    <t>Köz. ász. beh. hj.:</t>
  </si>
  <si>
    <t>Közhasznú áruszállítási behajtási hozzájárulás  behajtási díja</t>
  </si>
  <si>
    <t>Szsz. beh-vár. hj.:</t>
  </si>
  <si>
    <t>Szervizszolgáltatási behajtási-várakozási hozzájárulás  behajtási-várakozási díja</t>
  </si>
  <si>
    <t>Eseti beh-vár. hj.:</t>
  </si>
  <si>
    <t>Eseti behajtási-várakozási hozzájárulás  behajtási-várakozási díja</t>
  </si>
  <si>
    <r>
      <t>A korlátozott övezetekbe érvényes behajtási hozzájárulások ÁFA-val növelt tájékoztató árai.</t>
    </r>
    <r>
      <rPr>
        <b/>
        <sz val="12"/>
        <rFont val="Arial CE"/>
        <charset val="238"/>
      </rPr>
      <t/>
    </r>
  </si>
  <si>
    <r>
      <t xml:space="preserve">Kedvezmények:
</t>
    </r>
    <r>
      <rPr>
        <sz val="12"/>
        <rFont val="Arial"/>
        <family val="2"/>
        <charset val="238"/>
      </rPr>
      <t>- ha a a közúti közlekedési vállalkozás telehelye, tárolóhelye igazoltan a főváros közigazgatási területén belül található és ezen bejelentés 2009.01.01-ét megelőzően történt, a kedvezmény mértéke az érintett övezetre 10%
- ha a kérelmezett gépjármű az EURO 3 környezetvédelmi kategóriának megfelel, akkor a kedvezmény mértéke 10%,
- ha a kérelmezett gépjármű az EURO 4 környezetvédelmi kategóriának megfelel, akkor a kedvezmény mértéke 30%,
- ha a kérelmezett gépjármű az EURO 5 környezetvédelmi kategóriának megfelel, akkor kedvezmény mértéke 50%.
- ha a hozzájárulás legalább 280 napra érvényes, akkor a 7,5 tonna megengedett legnagyobb össztömeg alatti tehergépjárművek esetén a kedvezmény mértéke 10%, a 7,5 tonna  megengedett legnagyobb össztömeget meghaladó tehergépjárművek esetén a kedvezmény mértéke 20%.
- ha a hozzájárulás 20 óra és 06 óra közötti időszakra érvényes, a kedvezmény mértéke 30%
(A táblázat nem a kedvezményekkel csökkentett összegeket tartalmazzza!)</t>
    </r>
  </si>
  <si>
    <t>3,5 tonnás korlátozott forgalmú övezetek</t>
  </si>
  <si>
    <t xml:space="preserve">Övezet </t>
  </si>
  <si>
    <t xml:space="preserve">3,5 t-4,5 t tgk. </t>
  </si>
  <si>
    <t xml:space="preserve">4,5 t-6 t tgk. </t>
  </si>
  <si>
    <t xml:space="preserve">6 t-12 t tgk. </t>
  </si>
  <si>
    <t xml:space="preserve">12 t-16 t tgk. </t>
  </si>
  <si>
    <t xml:space="preserve">16 t-24 t tgk. </t>
  </si>
  <si>
    <t xml:space="preserve">24 t-32 t tgk. </t>
  </si>
  <si>
    <t xml:space="preserve">32 t felett tgk </t>
  </si>
  <si>
    <t xml:space="preserve">Buda </t>
  </si>
  <si>
    <t xml:space="preserve">Kelenvölgy </t>
  </si>
  <si>
    <t xml:space="preserve">Pest </t>
  </si>
  <si>
    <t xml:space="preserve">Dél-Pest </t>
  </si>
  <si>
    <t>7,5 tonnás korlátozott forgalmú övezetek</t>
  </si>
  <si>
    <t xml:space="preserve">7,5 t-8,5 t tgk. </t>
  </si>
  <si>
    <t xml:space="preserve">8,5 t-12 t tgk. </t>
  </si>
  <si>
    <t>12t-13t tgk</t>
  </si>
  <si>
    <t xml:space="preserve">13 t-16 t tgk. </t>
  </si>
  <si>
    <t xml:space="preserve">32 t felett tgk. </t>
  </si>
  <si>
    <t>Észak - Buda</t>
  </si>
  <si>
    <t>Közép - Pest</t>
  </si>
  <si>
    <t xml:space="preserve">Pesterzsébet </t>
  </si>
  <si>
    <t>12 tonnás korlátozott forgalmú övezetek</t>
  </si>
  <si>
    <t xml:space="preserve">12 t-13 t tgk. </t>
  </si>
  <si>
    <t xml:space="preserve">Észak-Buda </t>
  </si>
  <si>
    <t xml:space="preserve">Hegyvidék </t>
  </si>
  <si>
    <t xml:space="preserve">Dél-Buda </t>
  </si>
  <si>
    <t xml:space="preserve">Észak-Pest </t>
  </si>
  <si>
    <t xml:space="preserve">Kelet-Pest </t>
  </si>
  <si>
    <t xml:space="preserve">Csepel </t>
  </si>
  <si>
    <t>Kombinált 12 tonnás korlátozott forgalmú övezetek</t>
  </si>
  <si>
    <t>Buda</t>
  </si>
  <si>
    <t>Pest</t>
  </si>
  <si>
    <t>lak.beh-vár</t>
  </si>
  <si>
    <t>gazd.beh-vár</t>
  </si>
  <si>
    <t>ász.beh-vár</t>
  </si>
  <si>
    <t>szerviz</t>
  </si>
  <si>
    <t>eseti</t>
  </si>
  <si>
    <t>sportoloi</t>
  </si>
  <si>
    <t xml:space="preserve">3.5t-ás Övezet </t>
  </si>
  <si>
    <t xml:space="preserve">3,5t-4,5t tgk. </t>
  </si>
  <si>
    <t xml:space="preserve">4,5t-6t tgk. </t>
  </si>
  <si>
    <t xml:space="preserve">6t-8.5t tgk. </t>
  </si>
  <si>
    <t xml:space="preserve">8.5t-12t tgk. </t>
  </si>
  <si>
    <t xml:space="preserve">12t-13t tgk. </t>
  </si>
  <si>
    <t xml:space="preserve">13t-16t tgk. </t>
  </si>
  <si>
    <t xml:space="preserve">16t-24t tgk. </t>
  </si>
  <si>
    <t xml:space="preserve">24t-32t tgk. </t>
  </si>
  <si>
    <t xml:space="preserve">32t felett tgk </t>
  </si>
  <si>
    <t xml:space="preserve">7.5t-ás Övezet </t>
  </si>
  <si>
    <t xml:space="preserve">7,5t-8,5t tgk. </t>
  </si>
  <si>
    <t xml:space="preserve">8,5t-12t tgk. </t>
  </si>
  <si>
    <t xml:space="preserve">12t-ás Övezet </t>
  </si>
  <si>
    <t xml:space="preserve">Kombi Övezet </t>
  </si>
  <si>
    <t>Euró</t>
  </si>
  <si>
    <t>Telephely</t>
  </si>
  <si>
    <t>Éjszakai</t>
  </si>
  <si>
    <t>Mikro</t>
  </si>
  <si>
    <t>Szöv</t>
  </si>
  <si>
    <t>Kombi</t>
  </si>
  <si>
    <t>nincs kód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</si>
</sst>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* #,##0.00\ &quot;Ft&quot;_-;\-* #,##0.00\ &quot;Ft&quot;_-;_-* &quot;-&quot;??\ &quot;Ft&quot;_-;_-@_-"/>
    <numFmt numFmtId="164" formatCode="_-* #,##0.00\ _F_t_-;\-* #,##0.00\ _F_t_-;_-* &quot;-&quot;??\ _F_t_-;_-@_-"/>
    <numFmt numFmtId="165" formatCode="\(#,##0\)"/>
    <numFmt numFmtId="166" formatCode="#,##0.00_ ;[Red]\-#,##0.00\ "/>
    <numFmt numFmtId="167" formatCode="#,##0.00_ ;\-#,##0.00\ "/>
    <numFmt numFmtId="168" formatCode="0;[Red]0"/>
    <numFmt numFmtId="169" formatCode="##&quot; nap&quot;"/>
    <numFmt numFmtId="170" formatCode="#,##0&quot; nap&quot;"/>
    <numFmt numFmtId="171" formatCode="_-* #,##0\ &quot;Ft&quot;_-;\-* #,##0\ &quot;Ft&quot;_-;_-* &quot;-&quot;??\ &quot;Ft&quot;_-;_-@_-"/>
    <numFmt numFmtId="172" formatCode="#,##0\ _F_t"/>
    <numFmt numFmtId="173" formatCode="#,##0\ &quot;Ft&quot;"/>
    <numFmt numFmtId="174" formatCode="#,##0;[Red]#,##0"/>
    <numFmt numFmtId="175" formatCode="0.0"/>
    <numFmt numFmtId="176" formatCode="#,##0.0"/>
    <numFmt numFmtId="177" formatCode="#,##0\ &quot;Ft&quot;;[Red]#,##0\ &quot;Ft&quot;"/>
    <numFmt numFmtId="178" formatCode="\(#,##0.00\)"/>
    <numFmt numFmtId="179" formatCode="_-* #,##0\ [$Ft-40E]_-;\-* #,##0\ [$Ft-40E]_-;_-* &quot;-&quot;??\ [$Ft-40E]_-;_-@_-"/>
  </numFmts>
  <fonts count="46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20"/>
      <name val="Arial CE"/>
      <family val="2"/>
      <charset val="238"/>
    </font>
    <font>
      <b/>
      <sz val="16"/>
      <name val="Arial CE"/>
      <charset val="238"/>
    </font>
    <font>
      <b/>
      <sz val="14"/>
      <name val="Arial CE"/>
      <charset val="238"/>
    </font>
    <font>
      <b/>
      <sz val="12"/>
      <name val="Arial CE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10"/>
      <name val="Times New Roman"/>
      <family val="1"/>
      <charset val="238"/>
    </font>
    <font>
      <sz val="10"/>
      <color indexed="8"/>
      <name val="Arial CE"/>
      <charset val="238"/>
    </font>
    <font>
      <sz val="12"/>
      <name val="Arial CE"/>
      <charset val="238"/>
    </font>
    <font>
      <b/>
      <sz val="14"/>
      <name val="Times New Roman"/>
      <family val="1"/>
      <charset val="238"/>
    </font>
    <font>
      <b/>
      <sz val="14"/>
      <color indexed="10"/>
      <name val="Arial CE"/>
      <charset val="238"/>
    </font>
    <font>
      <b/>
      <sz val="18"/>
      <name val="Arial CE"/>
      <charset val="238"/>
    </font>
    <font>
      <b/>
      <sz val="16"/>
      <color indexed="10"/>
      <name val="Arial Black"/>
      <family val="2"/>
      <charset val="238"/>
    </font>
    <font>
      <b/>
      <i/>
      <sz val="28"/>
      <color indexed="9"/>
      <name val="Algerian"/>
      <family val="5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indexed="8"/>
      <name val="Verdana"/>
      <family val="2"/>
      <charset val="238"/>
    </font>
    <font>
      <b/>
      <sz val="12"/>
      <color indexed="8"/>
      <name val="Verdana"/>
      <family val="2"/>
      <charset val="238"/>
    </font>
    <font>
      <b/>
      <sz val="18"/>
      <color indexed="9"/>
      <name val="Arial CE"/>
      <charset val="238"/>
    </font>
    <font>
      <b/>
      <i/>
      <sz val="28"/>
      <color indexed="62"/>
      <name val="Algerian"/>
      <family val="5"/>
    </font>
    <font>
      <sz val="8"/>
      <name val="Arial CE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i/>
      <sz val="12"/>
      <name val="Arial CE"/>
      <family val="2"/>
      <charset val="238"/>
    </font>
    <font>
      <b/>
      <sz val="12"/>
      <color indexed="10"/>
      <name val="Arial CE"/>
      <family val="2"/>
      <charset val="238"/>
    </font>
    <font>
      <b/>
      <i/>
      <sz val="12"/>
      <color indexed="10"/>
      <name val="Arial CE"/>
      <family val="2"/>
      <charset val="238"/>
    </font>
    <font>
      <sz val="22"/>
      <name val="Arial Black"/>
      <family val="2"/>
      <charset val="238"/>
    </font>
    <font>
      <sz val="20"/>
      <name val="Arial Black"/>
      <family val="2"/>
      <charset val="238"/>
    </font>
    <font>
      <sz val="18"/>
      <name val="Arial Black"/>
      <family val="2"/>
      <charset val="238"/>
    </font>
    <font>
      <b/>
      <sz val="11"/>
      <name val="Arial CE"/>
      <charset val="238"/>
    </font>
    <font>
      <sz val="11"/>
      <color rgb="FFFF0000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  <font>
      <b/>
      <sz val="24"/>
      <color rgb="FFFF0000"/>
      <name val="Arial CE"/>
      <charset val="238"/>
    </font>
    <font>
      <b/>
      <sz val="12"/>
      <color rgb="FFFF0000"/>
      <name val="Arial CE"/>
      <charset val="238"/>
    </font>
    <font>
      <b/>
      <sz val="12"/>
      <color rgb="FFFF0000"/>
      <name val="Calibri"/>
      <family val="2"/>
      <charset val="238"/>
      <scheme val="minor"/>
    </font>
    <font>
      <b/>
      <sz val="16"/>
      <color rgb="FFFF0000"/>
      <name val="Arial CE"/>
      <charset val="238"/>
    </font>
    <font>
      <b/>
      <sz val="24"/>
      <color indexed="10"/>
      <name val="Arial CE"/>
      <charset val="238"/>
    </font>
    <font>
      <b/>
      <sz val="24"/>
      <name val="Arial CE"/>
      <charset val="238"/>
    </font>
    <font>
      <b/>
      <sz val="18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1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medium">
        <color indexed="12"/>
      </left>
      <right style="thick">
        <color indexed="8"/>
      </right>
      <top style="medium">
        <color indexed="12"/>
      </top>
      <bottom style="medium">
        <color indexed="12"/>
      </bottom>
      <diagonal/>
    </border>
    <border>
      <left style="thick">
        <color indexed="8"/>
      </left>
      <right style="medium">
        <color indexed="12"/>
      </right>
      <top/>
      <bottom style="medium">
        <color indexed="12"/>
      </bottom>
      <diagonal/>
    </border>
    <border>
      <left style="thick">
        <color indexed="8"/>
      </left>
      <right style="medium">
        <color indexed="12"/>
      </right>
      <top style="medium">
        <color indexed="64"/>
      </top>
      <bottom style="medium">
        <color indexed="12"/>
      </bottom>
      <diagonal/>
    </border>
    <border>
      <left style="thick">
        <color indexed="12"/>
      </left>
      <right style="medium">
        <color indexed="12"/>
      </right>
      <top style="thick">
        <color indexed="12"/>
      </top>
      <bottom style="medium">
        <color indexed="12"/>
      </bottom>
      <diagonal/>
    </border>
    <border>
      <left style="thick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thick">
        <color indexed="8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ck">
        <color indexed="64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thick">
        <color indexed="64"/>
      </right>
      <top/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10"/>
      </left>
      <right style="thick">
        <color indexed="64"/>
      </right>
      <top style="medium">
        <color indexed="10"/>
      </top>
      <bottom style="medium">
        <color indexed="10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10"/>
      </right>
      <top style="medium">
        <color indexed="10"/>
      </top>
      <bottom style="thick">
        <color indexed="64"/>
      </bottom>
      <diagonal/>
    </border>
    <border>
      <left style="medium">
        <color indexed="10"/>
      </left>
      <right style="thick">
        <color indexed="8"/>
      </right>
      <top style="medium">
        <color indexed="10"/>
      </top>
      <bottom style="medium">
        <color indexed="10"/>
      </bottom>
      <diagonal/>
    </border>
    <border>
      <left style="thick">
        <color indexed="8"/>
      </left>
      <right style="medium">
        <color indexed="10"/>
      </right>
      <top style="medium">
        <color indexed="10"/>
      </top>
      <bottom style="thick">
        <color indexed="8"/>
      </bottom>
      <diagonal/>
    </border>
    <border>
      <left style="thick">
        <color indexed="8"/>
      </left>
      <right style="medium">
        <color indexed="10"/>
      </right>
      <top/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/>
      <top style="medium">
        <color indexed="10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 style="medium">
        <color indexed="12"/>
      </right>
      <top/>
      <bottom style="medium">
        <color indexed="12"/>
      </bottom>
      <diagonal/>
    </border>
    <border>
      <left style="medium">
        <color indexed="12"/>
      </left>
      <right/>
      <top style="medium">
        <color indexed="12"/>
      </top>
      <bottom style="medium">
        <color indexed="12"/>
      </bottom>
      <diagonal/>
    </border>
    <border>
      <left/>
      <right/>
      <top style="medium">
        <color indexed="12"/>
      </top>
      <bottom style="medium">
        <color indexed="12"/>
      </bottom>
      <diagonal/>
    </border>
    <border>
      <left/>
      <right style="thick">
        <color indexed="8"/>
      </right>
      <top style="medium">
        <color indexed="12"/>
      </top>
      <bottom style="medium">
        <color indexed="12"/>
      </bottom>
      <diagonal/>
    </border>
    <border>
      <left style="thick">
        <color indexed="8"/>
      </left>
      <right style="medium">
        <color indexed="12"/>
      </right>
      <top style="medium">
        <color indexed="12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64"/>
      </bottom>
      <diagonal/>
    </border>
    <border>
      <left/>
      <right/>
      <top style="thick">
        <color indexed="8"/>
      </top>
      <bottom style="medium">
        <color indexed="64"/>
      </bottom>
      <diagonal/>
    </border>
    <border>
      <left/>
      <right style="thick">
        <color indexed="8"/>
      </right>
      <top style="thick">
        <color indexed="8"/>
      </top>
      <bottom style="medium">
        <color indexed="64"/>
      </bottom>
      <diagonal/>
    </border>
    <border>
      <left style="thick">
        <color indexed="8"/>
      </left>
      <right style="medium">
        <color indexed="12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2"/>
      </left>
      <right/>
      <top style="thick">
        <color indexed="12"/>
      </top>
      <bottom style="medium">
        <color indexed="12"/>
      </bottom>
      <diagonal/>
    </border>
    <border>
      <left/>
      <right/>
      <top style="thick">
        <color indexed="12"/>
      </top>
      <bottom style="medium">
        <color indexed="12"/>
      </bottom>
      <diagonal/>
    </border>
    <border>
      <left/>
      <right style="thick">
        <color indexed="12"/>
      </right>
      <top style="thick">
        <color indexed="12"/>
      </top>
      <bottom style="medium">
        <color indexed="12"/>
      </bottom>
      <diagonal/>
    </border>
    <border>
      <left/>
      <right style="thick">
        <color indexed="12"/>
      </right>
      <top style="medium">
        <color indexed="12"/>
      </top>
      <bottom style="medium">
        <color indexed="1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/>
      <bottom/>
      <diagonal/>
    </border>
  </borders>
  <cellStyleXfs count="4">
    <xf numFmtId="165" fontId="0" fillId="0" borderId="0"/>
    <xf numFmtId="16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58">
    <xf numFmtId="165" fontId="0" fillId="0" borderId="0" xfId="0"/>
    <xf numFmtId="9" fontId="0" fillId="0" borderId="0" xfId="0" applyNumberFormat="1"/>
    <xf numFmtId="3" fontId="3" fillId="0" borderId="1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165" fontId="11" fillId="0" borderId="4" xfId="0" applyFont="1" applyBorder="1" applyAlignment="1">
      <alignment horizontal="center" vertical="center"/>
    </xf>
    <xf numFmtId="1" fontId="11" fillId="0" borderId="5" xfId="0" applyNumberFormat="1" applyFont="1" applyBorder="1"/>
    <xf numFmtId="166" fontId="11" fillId="0" borderId="6" xfId="0" applyNumberFormat="1" applyFont="1" applyBorder="1" applyAlignment="1">
      <alignment vertical="center"/>
    </xf>
    <xf numFmtId="166" fontId="11" fillId="0" borderId="7" xfId="0" applyNumberFormat="1" applyFont="1" applyBorder="1" applyAlignment="1">
      <alignment vertical="center"/>
    </xf>
    <xf numFmtId="3" fontId="10" fillId="2" borderId="8" xfId="0" applyNumberFormat="1" applyFont="1" applyFill="1" applyBorder="1" applyAlignment="1">
      <alignment horizontal="center" vertical="center" wrapText="1"/>
    </xf>
    <xf numFmtId="1" fontId="10" fillId="2" borderId="9" xfId="0" applyNumberFormat="1" applyFont="1" applyFill="1" applyBorder="1"/>
    <xf numFmtId="166" fontId="10" fillId="2" borderId="10" xfId="0" applyNumberFormat="1" applyFont="1" applyFill="1" applyBorder="1"/>
    <xf numFmtId="3" fontId="10" fillId="0" borderId="11" xfId="0" applyNumberFormat="1" applyFont="1" applyBorder="1" applyAlignment="1">
      <alignment horizontal="center" vertical="center" wrapText="1"/>
    </xf>
    <xf numFmtId="165" fontId="12" fillId="0" borderId="12" xfId="0" applyFont="1" applyBorder="1"/>
    <xf numFmtId="167" fontId="12" fillId="0" borderId="13" xfId="0" applyNumberFormat="1" applyFont="1" applyBorder="1"/>
    <xf numFmtId="167" fontId="12" fillId="0" borderId="14" xfId="0" applyNumberFormat="1" applyFont="1" applyBorder="1"/>
    <xf numFmtId="165" fontId="11" fillId="0" borderId="15" xfId="0" applyFont="1" applyBorder="1" applyAlignment="1">
      <alignment horizontal="center" vertical="center"/>
    </xf>
    <xf numFmtId="3" fontId="11" fillId="0" borderId="15" xfId="0" applyNumberFormat="1" applyFont="1" applyBorder="1"/>
    <xf numFmtId="166" fontId="11" fillId="0" borderId="15" xfId="0" applyNumberFormat="1" applyFont="1" applyBorder="1" applyAlignment="1">
      <alignment vertical="center"/>
    </xf>
    <xf numFmtId="166" fontId="11" fillId="0" borderId="16" xfId="0" applyNumberFormat="1" applyFont="1" applyBorder="1" applyAlignment="1">
      <alignment vertical="center"/>
    </xf>
    <xf numFmtId="3" fontId="10" fillId="2" borderId="10" xfId="0" applyNumberFormat="1" applyFont="1" applyFill="1" applyBorder="1" applyAlignment="1">
      <alignment horizontal="center" vertical="center" wrapText="1"/>
    </xf>
    <xf numFmtId="3" fontId="10" fillId="2" borderId="10" xfId="0" applyNumberFormat="1" applyFont="1" applyFill="1" applyBorder="1"/>
    <xf numFmtId="166" fontId="10" fillId="2" borderId="13" xfId="1" applyNumberFormat="1" applyFont="1" applyFill="1" applyBorder="1" applyProtection="1"/>
    <xf numFmtId="3" fontId="11" fillId="0" borderId="13" xfId="0" applyNumberFormat="1" applyFont="1" applyBorder="1" applyAlignment="1">
      <alignment horizontal="center" vertical="center" wrapText="1"/>
    </xf>
    <xf numFmtId="165" fontId="12" fillId="0" borderId="13" xfId="0" applyFont="1" applyBorder="1"/>
    <xf numFmtId="165" fontId="11" fillId="0" borderId="6" xfId="0" applyFont="1" applyBorder="1" applyAlignment="1">
      <alignment horizontal="center" vertical="center"/>
    </xf>
    <xf numFmtId="3" fontId="11" fillId="0" borderId="6" xfId="0" applyNumberFormat="1" applyFont="1" applyBorder="1"/>
    <xf numFmtId="3" fontId="10" fillId="0" borderId="13" xfId="0" applyNumberFormat="1" applyFont="1" applyBorder="1" applyAlignment="1">
      <alignment horizontal="center" vertical="center" wrapText="1"/>
    </xf>
    <xf numFmtId="3" fontId="15" fillId="0" borderId="17" xfId="0" applyNumberFormat="1" applyFont="1" applyBorder="1" applyAlignment="1">
      <alignment horizontal="center" vertical="center" wrapText="1"/>
    </xf>
    <xf numFmtId="3" fontId="10" fillId="0" borderId="18" xfId="0" applyNumberFormat="1" applyFont="1" applyBorder="1" applyAlignment="1">
      <alignment horizontal="center" vertical="center" wrapText="1"/>
    </xf>
    <xf numFmtId="165" fontId="12" fillId="0" borderId="18" xfId="0" applyFont="1" applyBorder="1"/>
    <xf numFmtId="167" fontId="12" fillId="0" borderId="18" xfId="0" applyNumberFormat="1" applyFont="1" applyBorder="1"/>
    <xf numFmtId="167" fontId="12" fillId="0" borderId="19" xfId="0" applyNumberFormat="1" applyFont="1" applyBorder="1"/>
    <xf numFmtId="3" fontId="10" fillId="0" borderId="12" xfId="0" applyNumberFormat="1" applyFont="1" applyBorder="1" applyAlignment="1">
      <alignment horizontal="center" vertical="center" wrapText="1"/>
    </xf>
    <xf numFmtId="165" fontId="3" fillId="0" borderId="0" xfId="0" applyFont="1"/>
    <xf numFmtId="165" fontId="13" fillId="0" borderId="0" xfId="0" applyFont="1"/>
    <xf numFmtId="165" fontId="16" fillId="0" borderId="0" xfId="0" applyFont="1" applyAlignment="1">
      <alignment horizontal="center" vertical="center"/>
    </xf>
    <xf numFmtId="9" fontId="7" fillId="0" borderId="22" xfId="0" applyNumberFormat="1" applyFont="1" applyBorder="1" applyAlignment="1">
      <alignment horizontal="center" vertical="center"/>
    </xf>
    <xf numFmtId="3" fontId="9" fillId="0" borderId="0" xfId="0" applyNumberFormat="1" applyFont="1"/>
    <xf numFmtId="166" fontId="11" fillId="0" borderId="0" xfId="0" applyNumberFormat="1" applyFont="1"/>
    <xf numFmtId="165" fontId="7" fillId="0" borderId="23" xfId="0" applyFont="1" applyBorder="1" applyAlignment="1">
      <alignment horizontal="center" vertical="center"/>
    </xf>
    <xf numFmtId="167" fontId="12" fillId="0" borderId="0" xfId="0" applyNumberFormat="1" applyFont="1"/>
    <xf numFmtId="165" fontId="11" fillId="0" borderId="0" xfId="0" applyFont="1" applyAlignment="1">
      <alignment horizontal="center" vertical="center"/>
    </xf>
    <xf numFmtId="166" fontId="11" fillId="0" borderId="0" xfId="0" applyNumberFormat="1" applyFont="1" applyAlignment="1">
      <alignment vertical="center"/>
    </xf>
    <xf numFmtId="3" fontId="10" fillId="0" borderId="0" xfId="0" applyNumberFormat="1" applyFont="1" applyAlignment="1">
      <alignment horizontal="center" vertical="center" wrapText="1"/>
    </xf>
    <xf numFmtId="166" fontId="10" fillId="0" borderId="0" xfId="0" applyNumberFormat="1" applyFont="1"/>
    <xf numFmtId="3" fontId="11" fillId="0" borderId="0" xfId="0" applyNumberFormat="1" applyFont="1" applyAlignment="1">
      <alignment horizontal="center" vertical="center" wrapText="1"/>
    </xf>
    <xf numFmtId="3" fontId="10" fillId="0" borderId="24" xfId="0" applyNumberFormat="1" applyFont="1" applyBorder="1" applyAlignment="1">
      <alignment horizontal="center" vertical="center" wrapText="1"/>
    </xf>
    <xf numFmtId="165" fontId="12" fillId="0" borderId="24" xfId="0" applyFont="1" applyBorder="1"/>
    <xf numFmtId="167" fontId="12" fillId="0" borderId="24" xfId="0" applyNumberFormat="1" applyFont="1" applyBorder="1"/>
    <xf numFmtId="165" fontId="8" fillId="3" borderId="25" xfId="0" applyFont="1" applyFill="1" applyBorder="1" applyAlignment="1">
      <alignment horizontal="center" vertical="center"/>
    </xf>
    <xf numFmtId="165" fontId="8" fillId="3" borderId="15" xfId="0" applyFont="1" applyFill="1" applyBorder="1" applyAlignment="1">
      <alignment horizontal="center" vertical="center"/>
    </xf>
    <xf numFmtId="165" fontId="8" fillId="3" borderId="0" xfId="0" applyFont="1" applyFill="1" applyAlignment="1">
      <alignment horizontal="center" vertical="center"/>
    </xf>
    <xf numFmtId="14" fontId="8" fillId="3" borderId="12" xfId="0" applyNumberFormat="1" applyFont="1" applyFill="1" applyBorder="1" applyAlignment="1" applyProtection="1">
      <alignment horizontal="center" vertical="center"/>
      <protection locked="0"/>
    </xf>
    <xf numFmtId="1" fontId="8" fillId="3" borderId="13" xfId="0" applyNumberFormat="1" applyFont="1" applyFill="1" applyBorder="1" applyAlignment="1">
      <alignment horizontal="center" vertical="center"/>
    </xf>
    <xf numFmtId="1" fontId="8" fillId="3" borderId="0" xfId="0" applyNumberFormat="1" applyFont="1" applyFill="1" applyAlignment="1">
      <alignment horizontal="center" vertical="center"/>
    </xf>
    <xf numFmtId="3" fontId="11" fillId="3" borderId="26" xfId="0" applyNumberFormat="1" applyFont="1" applyFill="1" applyBorder="1" applyAlignment="1">
      <alignment horizontal="center" vertical="center" wrapText="1"/>
    </xf>
    <xf numFmtId="3" fontId="11" fillId="3" borderId="6" xfId="0" applyNumberFormat="1" applyFont="1" applyFill="1" applyBorder="1"/>
    <xf numFmtId="166" fontId="11" fillId="3" borderId="6" xfId="0" applyNumberFormat="1" applyFont="1" applyFill="1" applyBorder="1"/>
    <xf numFmtId="166" fontId="11" fillId="3" borderId="7" xfId="0" applyNumberFormat="1" applyFont="1" applyFill="1" applyBorder="1"/>
    <xf numFmtId="3" fontId="11" fillId="3" borderId="4" xfId="0" applyNumberFormat="1" applyFont="1" applyFill="1" applyBorder="1" applyAlignment="1">
      <alignment horizontal="center" vertical="center" wrapText="1"/>
    </xf>
    <xf numFmtId="166" fontId="11" fillId="3" borderId="15" xfId="0" applyNumberFormat="1" applyFont="1" applyFill="1" applyBorder="1"/>
    <xf numFmtId="3" fontId="11" fillId="3" borderId="5" xfId="0" applyNumberFormat="1" applyFont="1" applyFill="1" applyBorder="1"/>
    <xf numFmtId="165" fontId="9" fillId="0" borderId="27" xfId="0" applyFont="1" applyBorder="1"/>
    <xf numFmtId="165" fontId="9" fillId="0" borderId="0" xfId="0" applyFont="1"/>
    <xf numFmtId="165" fontId="9" fillId="0" borderId="28" xfId="0" applyFont="1" applyBorder="1"/>
    <xf numFmtId="170" fontId="9" fillId="0" borderId="29" xfId="0" applyNumberFormat="1" applyFont="1" applyBorder="1"/>
    <xf numFmtId="165" fontId="0" fillId="0" borderId="28" xfId="0" applyBorder="1"/>
    <xf numFmtId="165" fontId="22" fillId="0" borderId="30" xfId="0" applyFont="1" applyBorder="1" applyAlignment="1">
      <alignment horizontal="center" vertical="center" wrapText="1"/>
    </xf>
    <xf numFmtId="165" fontId="22" fillId="0" borderId="31" xfId="0" applyFont="1" applyBorder="1" applyAlignment="1">
      <alignment horizontal="center" vertical="center" wrapText="1"/>
    </xf>
    <xf numFmtId="165" fontId="22" fillId="0" borderId="29" xfId="0" applyFont="1" applyBorder="1" applyAlignment="1">
      <alignment vertical="center" wrapText="1"/>
    </xf>
    <xf numFmtId="171" fontId="22" fillId="0" borderId="30" xfId="2" applyNumberFormat="1" applyFont="1" applyBorder="1" applyAlignment="1">
      <alignment horizontal="right" vertical="center" wrapText="1"/>
    </xf>
    <xf numFmtId="171" fontId="22" fillId="0" borderId="30" xfId="2" applyNumberFormat="1" applyFont="1" applyBorder="1" applyAlignment="1">
      <alignment horizontal="center" vertical="center" wrapText="1"/>
    </xf>
    <xf numFmtId="171" fontId="22" fillId="0" borderId="31" xfId="2" applyNumberFormat="1" applyFont="1" applyBorder="1" applyAlignment="1">
      <alignment horizontal="center" vertical="center" wrapText="1"/>
    </xf>
    <xf numFmtId="165" fontId="0" fillId="0" borderId="27" xfId="0" applyBorder="1" applyAlignment="1">
      <alignment vertical="center"/>
    </xf>
    <xf numFmtId="165" fontId="0" fillId="0" borderId="0" xfId="0" applyAlignment="1">
      <alignment vertical="center"/>
    </xf>
    <xf numFmtId="165" fontId="0" fillId="0" borderId="28" xfId="0" applyBorder="1" applyAlignment="1">
      <alignment vertical="center"/>
    </xf>
    <xf numFmtId="170" fontId="9" fillId="0" borderId="29" xfId="0" applyNumberFormat="1" applyFont="1" applyBorder="1" applyAlignment="1">
      <alignment vertical="center"/>
    </xf>
    <xf numFmtId="170" fontId="9" fillId="0" borderId="32" xfId="0" applyNumberFormat="1" applyFont="1" applyBorder="1" applyAlignment="1">
      <alignment vertical="center"/>
    </xf>
    <xf numFmtId="165" fontId="23" fillId="0" borderId="30" xfId="0" applyFont="1" applyBorder="1" applyAlignment="1">
      <alignment horizontal="center" vertical="center" wrapText="1"/>
    </xf>
    <xf numFmtId="165" fontId="23" fillId="0" borderId="31" xfId="0" applyFont="1" applyBorder="1" applyAlignment="1">
      <alignment horizontal="center" vertical="center" wrapText="1"/>
    </xf>
    <xf numFmtId="165" fontId="22" fillId="0" borderId="27" xfId="0" applyFont="1" applyBorder="1" applyAlignment="1">
      <alignment vertical="center" wrapText="1"/>
    </xf>
    <xf numFmtId="171" fontId="22" fillId="0" borderId="0" xfId="2" applyNumberFormat="1" applyFont="1" applyBorder="1" applyAlignment="1">
      <alignment horizontal="right" vertical="center" wrapText="1"/>
    </xf>
    <xf numFmtId="171" fontId="22" fillId="0" borderId="0" xfId="2" applyNumberFormat="1" applyFont="1" applyBorder="1" applyAlignment="1">
      <alignment horizontal="center" vertical="center" wrapText="1"/>
    </xf>
    <xf numFmtId="171" fontId="22" fillId="0" borderId="28" xfId="2" applyNumberFormat="1" applyFont="1" applyBorder="1" applyAlignment="1">
      <alignment horizontal="center" vertical="center" wrapText="1"/>
    </xf>
    <xf numFmtId="170" fontId="9" fillId="0" borderId="33" xfId="0" applyNumberFormat="1" applyFont="1" applyBorder="1" applyAlignment="1">
      <alignment vertical="center"/>
    </xf>
    <xf numFmtId="165" fontId="22" fillId="0" borderId="34" xfId="0" applyFont="1" applyBorder="1" applyAlignment="1">
      <alignment horizontal="left" vertical="center" wrapText="1"/>
    </xf>
    <xf numFmtId="165" fontId="22" fillId="0" borderId="35" xfId="0" applyFont="1" applyBorder="1" applyAlignment="1">
      <alignment horizontal="left" vertical="center" wrapText="1"/>
    </xf>
    <xf numFmtId="170" fontId="9" fillId="0" borderId="36" xfId="0" applyNumberFormat="1" applyFont="1" applyBorder="1" applyAlignment="1">
      <alignment vertical="center"/>
    </xf>
    <xf numFmtId="170" fontId="9" fillId="0" borderId="37" xfId="0" applyNumberFormat="1" applyFont="1" applyBorder="1" applyAlignment="1">
      <alignment vertical="center"/>
    </xf>
    <xf numFmtId="165" fontId="0" fillId="0" borderId="38" xfId="0" applyBorder="1" applyAlignment="1">
      <alignment vertical="center"/>
    </xf>
    <xf numFmtId="165" fontId="23" fillId="0" borderId="37" xfId="0" applyFont="1" applyBorder="1" applyAlignment="1">
      <alignment horizontal="center" vertical="center" wrapText="1"/>
    </xf>
    <xf numFmtId="165" fontId="23" fillId="0" borderId="39" xfId="0" applyFont="1" applyBorder="1" applyAlignment="1">
      <alignment horizontal="center" vertical="center" wrapText="1"/>
    </xf>
    <xf numFmtId="165" fontId="23" fillId="0" borderId="40" xfId="0" applyFont="1" applyBorder="1" applyAlignment="1">
      <alignment horizontal="center" vertical="center" wrapText="1"/>
    </xf>
    <xf numFmtId="165" fontId="22" fillId="0" borderId="37" xfId="0" applyFont="1" applyBorder="1" applyAlignment="1">
      <alignment vertical="center" wrapText="1"/>
    </xf>
    <xf numFmtId="171" fontId="22" fillId="0" borderId="39" xfId="2" applyNumberFormat="1" applyFont="1" applyBorder="1" applyAlignment="1">
      <alignment horizontal="right" vertical="center" wrapText="1"/>
    </xf>
    <xf numFmtId="165" fontId="0" fillId="0" borderId="41" xfId="0" applyBorder="1" applyAlignment="1">
      <alignment vertical="center"/>
    </xf>
    <xf numFmtId="170" fontId="9" fillId="0" borderId="41" xfId="0" applyNumberFormat="1" applyFont="1" applyBorder="1" applyAlignment="1">
      <alignment vertical="center"/>
    </xf>
    <xf numFmtId="165" fontId="22" fillId="0" borderId="42" xfId="0" applyFont="1" applyBorder="1" applyAlignment="1">
      <alignment vertical="center" wrapText="1"/>
    </xf>
    <xf numFmtId="171" fontId="22" fillId="0" borderId="43" xfId="2" applyNumberFormat="1" applyFont="1" applyBorder="1" applyAlignment="1">
      <alignment horizontal="right" vertical="center" wrapText="1"/>
    </xf>
    <xf numFmtId="165" fontId="23" fillId="0" borderId="36" xfId="0" applyFont="1" applyBorder="1" applyAlignment="1">
      <alignment horizontal="center" vertical="center" wrapText="1"/>
    </xf>
    <xf numFmtId="165" fontId="23" fillId="0" borderId="43" xfId="0" applyFont="1" applyBorder="1" applyAlignment="1">
      <alignment horizontal="center" vertical="center" wrapText="1"/>
    </xf>
    <xf numFmtId="165" fontId="22" fillId="0" borderId="36" xfId="0" applyFont="1" applyBorder="1" applyAlignment="1">
      <alignment vertical="center" wrapText="1"/>
    </xf>
    <xf numFmtId="165" fontId="22" fillId="0" borderId="44" xfId="0" applyFont="1" applyBorder="1" applyAlignment="1">
      <alignment vertical="center" wrapText="1"/>
    </xf>
    <xf numFmtId="170" fontId="9" fillId="0" borderId="45" xfId="0" applyNumberFormat="1" applyFont="1" applyBorder="1" applyAlignment="1">
      <alignment vertical="center"/>
    </xf>
    <xf numFmtId="165" fontId="4" fillId="0" borderId="0" xfId="0" applyFont="1"/>
    <xf numFmtId="165" fontId="4" fillId="0" borderId="0" xfId="0" applyFont="1" applyAlignment="1">
      <alignment horizontal="center" vertical="center"/>
    </xf>
    <xf numFmtId="165" fontId="4" fillId="0" borderId="0" xfId="0" applyFont="1" applyAlignment="1">
      <alignment horizontal="center"/>
    </xf>
    <xf numFmtId="3" fontId="28" fillId="0" borderId="0" xfId="0" applyNumberFormat="1" applyFont="1"/>
    <xf numFmtId="0" fontId="0" fillId="0" borderId="0" xfId="0" applyNumberFormat="1"/>
    <xf numFmtId="165" fontId="0" fillId="0" borderId="5" xfId="0" applyBorder="1"/>
    <xf numFmtId="165" fontId="0" fillId="0" borderId="6" xfId="0" applyBorder="1" applyAlignment="1">
      <alignment horizontal="center"/>
    </xf>
    <xf numFmtId="165" fontId="0" fillId="0" borderId="7" xfId="0" applyBorder="1" applyAlignment="1">
      <alignment horizontal="center"/>
    </xf>
    <xf numFmtId="165" fontId="0" fillId="0" borderId="20" xfId="0" applyBorder="1" applyAlignment="1">
      <alignment horizontal="center"/>
    </xf>
    <xf numFmtId="0" fontId="0" fillId="0" borderId="20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165" fontId="7" fillId="0" borderId="46" xfId="0" applyFont="1" applyBorder="1" applyAlignment="1">
      <alignment horizontal="center" vertical="center"/>
    </xf>
    <xf numFmtId="2" fontId="0" fillId="0" borderId="46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4" fontId="28" fillId="0" borderId="47" xfId="0" applyNumberFormat="1" applyFont="1" applyBorder="1"/>
    <xf numFmtId="3" fontId="27" fillId="0" borderId="49" xfId="0" applyNumberFormat="1" applyFont="1" applyBorder="1" applyAlignment="1">
      <alignment horizontal="center" vertical="center"/>
    </xf>
    <xf numFmtId="3" fontId="27" fillId="0" borderId="50" xfId="0" applyNumberFormat="1" applyFont="1" applyBorder="1" applyAlignment="1">
      <alignment horizontal="center" vertical="center"/>
    </xf>
    <xf numFmtId="3" fontId="27" fillId="0" borderId="51" xfId="0" applyNumberFormat="1" applyFont="1" applyBorder="1" applyAlignment="1">
      <alignment horizontal="center" vertical="center"/>
    </xf>
    <xf numFmtId="3" fontId="27" fillId="0" borderId="55" xfId="0" applyNumberFormat="1" applyFont="1" applyBorder="1" applyAlignment="1">
      <alignment horizontal="center" vertical="center"/>
    </xf>
    <xf numFmtId="165" fontId="0" fillId="5" borderId="0" xfId="0" applyFill="1"/>
    <xf numFmtId="165" fontId="4" fillId="5" borderId="0" xfId="0" applyFont="1" applyFill="1"/>
    <xf numFmtId="165" fontId="22" fillId="0" borderId="0" xfId="0" applyFont="1" applyAlignment="1">
      <alignment vertical="center" wrapText="1"/>
    </xf>
    <xf numFmtId="165" fontId="22" fillId="0" borderId="0" xfId="0" applyFont="1" applyAlignment="1">
      <alignment horizontal="center" vertical="center" wrapText="1"/>
    </xf>
    <xf numFmtId="165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171" fontId="22" fillId="0" borderId="60" xfId="2" applyNumberFormat="1" applyFont="1" applyBorder="1" applyAlignment="1">
      <alignment horizontal="right" vertical="center" wrapText="1"/>
    </xf>
    <xf numFmtId="171" fontId="22" fillId="0" borderId="28" xfId="2" applyNumberFormat="1" applyFont="1" applyBorder="1" applyAlignment="1">
      <alignment horizontal="right" vertical="center" wrapText="1"/>
    </xf>
    <xf numFmtId="172" fontId="23" fillId="0" borderId="39" xfId="0" applyNumberFormat="1" applyFont="1" applyBorder="1" applyAlignment="1">
      <alignment horizontal="center" vertical="center" wrapText="1"/>
    </xf>
    <xf numFmtId="165" fontId="9" fillId="0" borderId="61" xfId="0" applyFont="1" applyBorder="1" applyAlignment="1">
      <alignment vertical="center"/>
    </xf>
    <xf numFmtId="165" fontId="9" fillId="0" borderId="62" xfId="0" applyFont="1" applyBorder="1" applyAlignment="1">
      <alignment vertical="center"/>
    </xf>
    <xf numFmtId="165" fontId="9" fillId="0" borderId="63" xfId="0" applyFont="1" applyBorder="1" applyAlignment="1">
      <alignment vertical="center"/>
    </xf>
    <xf numFmtId="165" fontId="37" fillId="6" borderId="54" xfId="0" applyFont="1" applyFill="1" applyBorder="1" applyAlignment="1">
      <alignment horizontal="center" vertical="center" wrapText="1"/>
    </xf>
    <xf numFmtId="175" fontId="0" fillId="0" borderId="0" xfId="0" applyNumberFormat="1"/>
    <xf numFmtId="165" fontId="0" fillId="7" borderId="0" xfId="0" applyFill="1"/>
    <xf numFmtId="1" fontId="0" fillId="7" borderId="0" xfId="0" applyNumberFormat="1" applyFill="1"/>
    <xf numFmtId="165" fontId="36" fillId="7" borderId="0" xfId="0" applyFont="1" applyFill="1"/>
    <xf numFmtId="3" fontId="37" fillId="6" borderId="64" xfId="0" applyNumberFormat="1" applyFont="1" applyFill="1" applyBorder="1" applyAlignment="1">
      <alignment horizontal="center" vertical="center"/>
    </xf>
    <xf numFmtId="3" fontId="37" fillId="0" borderId="54" xfId="0" applyNumberFormat="1" applyFont="1" applyBorder="1" applyAlignment="1">
      <alignment horizontal="center" vertical="center"/>
    </xf>
    <xf numFmtId="3" fontId="37" fillId="10" borderId="54" xfId="0" applyNumberFormat="1" applyFont="1" applyFill="1" applyBorder="1" applyAlignment="1">
      <alignment horizontal="center" vertical="center"/>
    </xf>
    <xf numFmtId="176" fontId="37" fillId="6" borderId="64" xfId="0" applyNumberFormat="1" applyFont="1" applyFill="1" applyBorder="1" applyAlignment="1">
      <alignment horizontal="center" vertical="center"/>
    </xf>
    <xf numFmtId="165" fontId="0" fillId="0" borderId="46" xfId="0" applyBorder="1" applyAlignment="1">
      <alignment horizontal="center" vertical="center"/>
    </xf>
    <xf numFmtId="9" fontId="0" fillId="0" borderId="0" xfId="3" applyFont="1"/>
    <xf numFmtId="165" fontId="14" fillId="0" borderId="0" xfId="0" applyFont="1"/>
    <xf numFmtId="9" fontId="14" fillId="0" borderId="0" xfId="3" applyFont="1"/>
    <xf numFmtId="0" fontId="0" fillId="0" borderId="0" xfId="0" applyNumberFormat="1" applyAlignment="1">
      <alignment horizontal="center" vertical="center"/>
    </xf>
    <xf numFmtId="0" fontId="0" fillId="0" borderId="46" xfId="0" applyNumberFormat="1" applyBorder="1" applyAlignment="1">
      <alignment horizontal="center" vertical="center"/>
    </xf>
    <xf numFmtId="9" fontId="0" fillId="0" borderId="46" xfId="3" applyFont="1" applyBorder="1"/>
    <xf numFmtId="165" fontId="3" fillId="7" borderId="0" xfId="0" applyFont="1" applyFill="1" applyAlignment="1">
      <alignment horizontal="right" vertical="center" indent="1"/>
    </xf>
    <xf numFmtId="165" fontId="8" fillId="0" borderId="73" xfId="0" applyFont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165" fontId="3" fillId="7" borderId="46" xfId="0" applyFont="1" applyFill="1" applyBorder="1" applyAlignment="1">
      <alignment horizontal="right" vertical="center" indent="1"/>
    </xf>
    <xf numFmtId="173" fontId="41" fillId="7" borderId="46" xfId="0" applyNumberFormat="1" applyFont="1" applyFill="1" applyBorder="1" applyAlignment="1">
      <alignment vertical="center"/>
    </xf>
    <xf numFmtId="9" fontId="17" fillId="0" borderId="19" xfId="3" applyFont="1" applyBorder="1" applyAlignment="1" applyProtection="1">
      <alignment horizontal="center" vertical="center" wrapText="1"/>
    </xf>
    <xf numFmtId="165" fontId="8" fillId="0" borderId="46" xfId="0" applyFont="1" applyBorder="1" applyAlignment="1">
      <alignment horizontal="center" vertical="center" wrapText="1"/>
    </xf>
    <xf numFmtId="3" fontId="7" fillId="0" borderId="46" xfId="0" applyNumberFormat="1" applyFont="1" applyBorder="1" applyAlignment="1">
      <alignment horizontal="center" vertical="center"/>
    </xf>
    <xf numFmtId="177" fontId="14" fillId="0" borderId="57" xfId="0" applyNumberFormat="1" applyFont="1" applyBorder="1"/>
    <xf numFmtId="177" fontId="31" fillId="0" borderId="54" xfId="0" applyNumberFormat="1" applyFont="1" applyBorder="1"/>
    <xf numFmtId="177" fontId="28" fillId="0" borderId="47" xfId="0" applyNumberFormat="1" applyFont="1" applyBorder="1"/>
    <xf numFmtId="177" fontId="28" fillId="0" borderId="21" xfId="0" applyNumberFormat="1" applyFont="1" applyBorder="1"/>
    <xf numFmtId="177" fontId="29" fillId="0" borderId="21" xfId="0" applyNumberFormat="1" applyFont="1" applyBorder="1"/>
    <xf numFmtId="177" fontId="14" fillId="0" borderId="109" xfId="0" applyNumberFormat="1" applyFont="1" applyBorder="1"/>
    <xf numFmtId="177" fontId="27" fillId="0" borderId="108" xfId="0" applyNumberFormat="1" applyFont="1" applyBorder="1"/>
    <xf numFmtId="177" fontId="27" fillId="0" borderId="48" xfId="0" applyNumberFormat="1" applyFont="1" applyBorder="1"/>
    <xf numFmtId="177" fontId="27" fillId="0" borderId="48" xfId="0" applyNumberFormat="1" applyFont="1" applyBorder="1" applyAlignment="1">
      <alignment horizontal="center"/>
    </xf>
    <xf numFmtId="177" fontId="29" fillId="0" borderId="22" xfId="0" applyNumberFormat="1" applyFont="1" applyBorder="1"/>
    <xf numFmtId="177" fontId="14" fillId="0" borderId="22" xfId="0" applyNumberFormat="1" applyFont="1" applyBorder="1"/>
    <xf numFmtId="177" fontId="31" fillId="0" borderId="22" xfId="0" applyNumberFormat="1" applyFont="1" applyBorder="1"/>
    <xf numFmtId="177" fontId="4" fillId="5" borderId="0" xfId="0" applyNumberFormat="1" applyFont="1" applyFill="1"/>
    <xf numFmtId="177" fontId="14" fillId="0" borderId="12" xfId="0" applyNumberFormat="1" applyFont="1" applyBorder="1"/>
    <xf numFmtId="177" fontId="28" fillId="0" borderId="53" xfId="0" applyNumberFormat="1" applyFont="1" applyBorder="1"/>
    <xf numFmtId="177" fontId="31" fillId="0" borderId="52" xfId="0" applyNumberFormat="1" applyFont="1" applyBorder="1"/>
    <xf numFmtId="177" fontId="14" fillId="0" borderId="56" xfId="0" applyNumberFormat="1" applyFont="1" applyBorder="1"/>
    <xf numFmtId="177" fontId="28" fillId="0" borderId="23" xfId="0" applyNumberFormat="1" applyFont="1" applyBorder="1"/>
    <xf numFmtId="177" fontId="31" fillId="0" borderId="59" xfId="0" applyNumberFormat="1" applyFont="1" applyBorder="1"/>
    <xf numFmtId="177" fontId="14" fillId="4" borderId="12" xfId="0" applyNumberFormat="1" applyFont="1" applyFill="1" applyBorder="1"/>
    <xf numFmtId="177" fontId="31" fillId="4" borderId="22" xfId="0" applyNumberFormat="1" applyFont="1" applyFill="1" applyBorder="1"/>
    <xf numFmtId="1" fontId="8" fillId="0" borderId="112" xfId="0" applyNumberFormat="1" applyFont="1" applyBorder="1" applyAlignment="1">
      <alignment horizontal="center" vertical="center"/>
    </xf>
    <xf numFmtId="165" fontId="8" fillId="0" borderId="9" xfId="0" applyFont="1" applyBorder="1" applyAlignment="1">
      <alignment horizontal="center" vertical="center"/>
    </xf>
    <xf numFmtId="14" fontId="8" fillId="13" borderId="113" xfId="0" applyNumberFormat="1" applyFont="1" applyFill="1" applyBorder="1" applyAlignment="1" applyProtection="1">
      <alignment horizontal="center" vertical="center"/>
      <protection locked="0"/>
    </xf>
    <xf numFmtId="165" fontId="16" fillId="0" borderId="10" xfId="0" applyFont="1" applyBorder="1" applyAlignment="1">
      <alignment horizontal="center" vertical="center" wrapText="1"/>
    </xf>
    <xf numFmtId="177" fontId="42" fillId="7" borderId="111" xfId="0" applyNumberFormat="1" applyFont="1" applyFill="1" applyBorder="1" applyAlignment="1">
      <alignment horizontal="center" vertical="center" wrapText="1"/>
    </xf>
    <xf numFmtId="165" fontId="35" fillId="8" borderId="73" xfId="0" applyFont="1" applyFill="1" applyBorder="1" applyAlignment="1">
      <alignment horizontal="right" vertical="center" indent="1"/>
    </xf>
    <xf numFmtId="165" fontId="35" fillId="8" borderId="69" xfId="0" applyFont="1" applyFill="1" applyBorder="1" applyAlignment="1">
      <alignment horizontal="right" vertical="center" indent="1"/>
    </xf>
    <xf numFmtId="165" fontId="3" fillId="9" borderId="120" xfId="0" applyFont="1" applyFill="1" applyBorder="1" applyAlignment="1">
      <alignment horizontal="center" vertical="center" wrapText="1"/>
    </xf>
    <xf numFmtId="165" fontId="3" fillId="9" borderId="10" xfId="0" applyFont="1" applyFill="1" applyBorder="1" applyAlignment="1">
      <alignment horizontal="center" vertical="center"/>
    </xf>
    <xf numFmtId="165" fontId="3" fillId="9" borderId="8" xfId="0" applyFont="1" applyFill="1" applyBorder="1" applyAlignment="1">
      <alignment horizontal="center" vertical="center"/>
    </xf>
    <xf numFmtId="173" fontId="41" fillId="7" borderId="69" xfId="0" applyNumberFormat="1" applyFont="1" applyFill="1" applyBorder="1"/>
    <xf numFmtId="174" fontId="40" fillId="7" borderId="15" xfId="0" applyNumberFormat="1" applyFont="1" applyFill="1" applyBorder="1" applyAlignment="1">
      <alignment vertical="center"/>
    </xf>
    <xf numFmtId="0" fontId="0" fillId="14" borderId="113" xfId="0" applyNumberFormat="1" applyFill="1" applyBorder="1" applyAlignment="1" applyProtection="1">
      <alignment horizontal="center"/>
      <protection locked="0"/>
    </xf>
    <xf numFmtId="9" fontId="0" fillId="14" borderId="113" xfId="0" applyNumberFormat="1" applyFill="1" applyBorder="1" applyAlignment="1" applyProtection="1">
      <alignment horizontal="center"/>
      <protection locked="0"/>
    </xf>
    <xf numFmtId="175" fontId="35" fillId="14" borderId="113" xfId="0" applyNumberFormat="1" applyFont="1" applyFill="1" applyBorder="1" applyAlignment="1" applyProtection="1">
      <alignment vertical="center"/>
      <protection locked="0"/>
    </xf>
    <xf numFmtId="0" fontId="45" fillId="14" borderId="113" xfId="0" applyNumberFormat="1" applyFont="1" applyFill="1" applyBorder="1" applyAlignment="1" applyProtection="1">
      <alignment horizontal="center" vertical="center"/>
      <protection locked="0"/>
    </xf>
    <xf numFmtId="1" fontId="35" fillId="14" borderId="113" xfId="0" applyNumberFormat="1" applyFont="1" applyFill="1" applyBorder="1" applyAlignment="1" applyProtection="1">
      <alignment vertical="center"/>
      <protection locked="0"/>
    </xf>
    <xf numFmtId="178" fontId="0" fillId="0" borderId="0" xfId="0" applyNumberFormat="1"/>
    <xf numFmtId="44" fontId="35" fillId="14" borderId="0" xfId="2" applyFont="1" applyFill="1" applyBorder="1" applyAlignment="1" applyProtection="1">
      <alignment vertical="center"/>
      <protection locked="0"/>
    </xf>
    <xf numFmtId="179" fontId="35" fillId="8" borderId="73" xfId="0" applyNumberFormat="1" applyFont="1" applyFill="1" applyBorder="1" applyAlignment="1">
      <alignment horizontal="right" vertical="center" indent="1"/>
    </xf>
    <xf numFmtId="10" fontId="0" fillId="14" borderId="123" xfId="0" applyNumberFormat="1" applyFill="1" applyBorder="1" applyAlignment="1">
      <alignment horizontal="center"/>
    </xf>
    <xf numFmtId="165" fontId="16" fillId="0" borderId="46" xfId="0" applyFont="1" applyBorder="1" applyAlignment="1">
      <alignment horizontal="center" vertical="center"/>
    </xf>
    <xf numFmtId="1" fontId="25" fillId="3" borderId="65" xfId="0" applyNumberFormat="1" applyFont="1" applyFill="1" applyBorder="1" applyAlignment="1">
      <alignment horizontal="center" vertical="center"/>
    </xf>
    <xf numFmtId="1" fontId="25" fillId="3" borderId="24" xfId="0" applyNumberFormat="1" applyFont="1" applyFill="1" applyBorder="1" applyAlignment="1">
      <alignment horizontal="center" vertical="center"/>
    </xf>
    <xf numFmtId="1" fontId="25" fillId="3" borderId="66" xfId="0" applyNumberFormat="1" applyFont="1" applyFill="1" applyBorder="1" applyAlignment="1">
      <alignment horizontal="center" vertical="center"/>
    </xf>
    <xf numFmtId="1" fontId="25" fillId="3" borderId="67" xfId="0" applyNumberFormat="1" applyFont="1" applyFill="1" applyBorder="1" applyAlignment="1">
      <alignment horizontal="center" vertical="center"/>
    </xf>
    <xf numFmtId="1" fontId="25" fillId="3" borderId="68" xfId="0" applyNumberFormat="1" applyFont="1" applyFill="1" applyBorder="1" applyAlignment="1">
      <alignment horizontal="center" vertical="center"/>
    </xf>
    <xf numFmtId="1" fontId="25" fillId="3" borderId="64" xfId="0" applyNumberFormat="1" applyFont="1" applyFill="1" applyBorder="1" applyAlignment="1">
      <alignment horizontal="center" vertical="center"/>
    </xf>
    <xf numFmtId="165" fontId="8" fillId="3" borderId="69" xfId="0" applyFont="1" applyFill="1" applyBorder="1" applyAlignment="1">
      <alignment horizontal="center" vertical="center"/>
    </xf>
    <xf numFmtId="165" fontId="8" fillId="3" borderId="70" xfId="0" applyFont="1" applyFill="1" applyBorder="1" applyAlignment="1">
      <alignment horizontal="center" vertical="center"/>
    </xf>
    <xf numFmtId="14" fontId="8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3" borderId="71" xfId="0" applyNumberFormat="1" applyFont="1" applyFill="1" applyBorder="1" applyAlignment="1" applyProtection="1">
      <alignment horizontal="center" vertical="center"/>
      <protection locked="0"/>
    </xf>
    <xf numFmtId="3" fontId="15" fillId="0" borderId="1" xfId="0" applyNumberFormat="1" applyFont="1" applyBorder="1" applyAlignment="1">
      <alignment horizontal="center" vertical="center" wrapText="1"/>
    </xf>
    <xf numFmtId="3" fontId="15" fillId="0" borderId="17" xfId="0" applyNumberFormat="1" applyFont="1" applyBorder="1" applyAlignment="1">
      <alignment horizontal="center" vertical="center" wrapText="1"/>
    </xf>
    <xf numFmtId="3" fontId="15" fillId="0" borderId="72" xfId="0" applyNumberFormat="1" applyFont="1" applyBorder="1" applyAlignment="1">
      <alignment horizontal="center" vertical="center" wrapText="1"/>
    </xf>
    <xf numFmtId="165" fontId="18" fillId="0" borderId="25" xfId="0" applyFont="1" applyBorder="1" applyAlignment="1">
      <alignment horizontal="center" vertical="center"/>
    </xf>
    <xf numFmtId="165" fontId="18" fillId="0" borderId="16" xfId="0" applyFont="1" applyBorder="1" applyAlignment="1">
      <alignment horizontal="center" vertical="center"/>
    </xf>
    <xf numFmtId="9" fontId="18" fillId="0" borderId="12" xfId="0" applyNumberFormat="1" applyFont="1" applyBorder="1" applyAlignment="1" applyProtection="1">
      <alignment horizontal="center"/>
      <protection locked="0"/>
    </xf>
    <xf numFmtId="9" fontId="18" fillId="0" borderId="14" xfId="0" applyNumberFormat="1" applyFont="1" applyBorder="1" applyAlignment="1" applyProtection="1">
      <alignment horizontal="center"/>
      <protection locked="0"/>
    </xf>
    <xf numFmtId="169" fontId="24" fillId="5" borderId="15" xfId="0" applyNumberFormat="1" applyFont="1" applyFill="1" applyBorder="1" applyAlignment="1" applyProtection="1">
      <alignment horizontal="center" vertical="center"/>
      <protection locked="0"/>
    </xf>
    <xf numFmtId="169" fontId="24" fillId="5" borderId="69" xfId="0" applyNumberFormat="1" applyFont="1" applyFill="1" applyBorder="1" applyAlignment="1" applyProtection="1">
      <alignment horizontal="center" vertical="center"/>
      <protection locked="0"/>
    </xf>
    <xf numFmtId="169" fontId="24" fillId="5" borderId="46" xfId="0" applyNumberFormat="1" applyFont="1" applyFill="1" applyBorder="1" applyAlignment="1" applyProtection="1">
      <alignment horizontal="center" vertical="center"/>
      <protection locked="0"/>
    </xf>
    <xf numFmtId="169" fontId="24" fillId="5" borderId="73" xfId="0" applyNumberFormat="1" applyFont="1" applyFill="1" applyBorder="1" applyAlignment="1" applyProtection="1">
      <alignment horizontal="center" vertical="center"/>
      <protection locked="0"/>
    </xf>
    <xf numFmtId="3" fontId="15" fillId="3" borderId="1" xfId="0" applyNumberFormat="1" applyFont="1" applyFill="1" applyBorder="1" applyAlignment="1">
      <alignment horizontal="center" vertical="center" wrapText="1"/>
    </xf>
    <xf numFmtId="3" fontId="15" fillId="3" borderId="17" xfId="0" applyNumberFormat="1" applyFont="1" applyFill="1" applyBorder="1" applyAlignment="1">
      <alignment horizontal="center" vertical="center" wrapText="1"/>
    </xf>
    <xf numFmtId="3" fontId="15" fillId="3" borderId="72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 wrapText="1"/>
    </xf>
    <xf numFmtId="3" fontId="6" fillId="0" borderId="74" xfId="0" applyNumberFormat="1" applyFont="1" applyBorder="1" applyAlignment="1">
      <alignment horizontal="center" vertical="center"/>
    </xf>
    <xf numFmtId="3" fontId="6" fillId="0" borderId="75" xfId="0" applyNumberFormat="1" applyFont="1" applyBorder="1" applyAlignment="1">
      <alignment horizontal="center" vertical="center"/>
    </xf>
    <xf numFmtId="3" fontId="6" fillId="0" borderId="68" xfId="0" applyNumberFormat="1" applyFont="1" applyBorder="1" applyAlignment="1">
      <alignment horizontal="center" vertical="center"/>
    </xf>
    <xf numFmtId="3" fontId="6" fillId="0" borderId="64" xfId="0" applyNumberFormat="1" applyFont="1" applyBorder="1" applyAlignment="1">
      <alignment horizontal="center" vertical="center"/>
    </xf>
    <xf numFmtId="3" fontId="15" fillId="3" borderId="65" xfId="0" applyNumberFormat="1" applyFont="1" applyFill="1" applyBorder="1" applyAlignment="1">
      <alignment horizontal="center" vertical="center" wrapText="1"/>
    </xf>
    <xf numFmtId="3" fontId="15" fillId="3" borderId="76" xfId="0" applyNumberFormat="1" applyFont="1" applyFill="1" applyBorder="1" applyAlignment="1">
      <alignment horizontal="center" vertical="center" wrapText="1"/>
    </xf>
    <xf numFmtId="3" fontId="15" fillId="3" borderId="67" xfId="0" applyNumberFormat="1" applyFont="1" applyFill="1" applyBorder="1" applyAlignment="1">
      <alignment horizontal="center" vertical="center" wrapText="1"/>
    </xf>
    <xf numFmtId="165" fontId="33" fillId="0" borderId="47" xfId="0" applyFont="1" applyBorder="1" applyAlignment="1">
      <alignment horizontal="center" vertical="center" textRotation="90" wrapText="1"/>
    </xf>
    <xf numFmtId="165" fontId="33" fillId="0" borderId="58" xfId="0" applyFont="1" applyBorder="1" applyAlignment="1">
      <alignment horizontal="center" vertical="center" textRotation="90" wrapText="1"/>
    </xf>
    <xf numFmtId="165" fontId="33" fillId="0" borderId="54" xfId="0" applyFont="1" applyBorder="1" applyAlignment="1">
      <alignment horizontal="center" vertical="center" textRotation="90" wrapText="1"/>
    </xf>
    <xf numFmtId="4" fontId="27" fillId="0" borderId="79" xfId="0" applyNumberFormat="1" applyFont="1" applyBorder="1" applyAlignment="1">
      <alignment horizontal="center" vertical="center" wrapText="1"/>
    </xf>
    <xf numFmtId="4" fontId="27" fillId="0" borderId="51" xfId="0" applyNumberFormat="1" applyFont="1" applyBorder="1" applyAlignment="1">
      <alignment horizontal="center" vertical="center" wrapText="1"/>
    </xf>
    <xf numFmtId="4" fontId="27" fillId="0" borderId="80" xfId="0" applyNumberFormat="1" applyFont="1" applyBorder="1" applyAlignment="1">
      <alignment horizontal="center" vertical="center" wrapText="1"/>
    </xf>
    <xf numFmtId="4" fontId="27" fillId="0" borderId="66" xfId="0" applyNumberFormat="1" applyFont="1" applyBorder="1" applyAlignment="1">
      <alignment vertical="center" wrapText="1"/>
    </xf>
    <xf numFmtId="4" fontId="27" fillId="0" borderId="49" xfId="0" applyNumberFormat="1" applyFont="1" applyBorder="1" applyAlignment="1">
      <alignment vertical="center" wrapText="1"/>
    </xf>
    <xf numFmtId="4" fontId="27" fillId="0" borderId="64" xfId="0" applyNumberFormat="1" applyFont="1" applyBorder="1" applyAlignment="1">
      <alignment vertical="center" wrapText="1"/>
    </xf>
    <xf numFmtId="165" fontId="5" fillId="0" borderId="47" xfId="0" applyFont="1" applyBorder="1" applyAlignment="1">
      <alignment horizontal="center" vertical="center" wrapText="1"/>
    </xf>
    <xf numFmtId="165" fontId="5" fillId="0" borderId="58" xfId="0" applyFont="1" applyBorder="1" applyAlignment="1">
      <alignment horizontal="center" vertical="center" wrapText="1"/>
    </xf>
    <xf numFmtId="165" fontId="5" fillId="0" borderId="54" xfId="0" applyFont="1" applyBorder="1" applyAlignment="1">
      <alignment horizontal="center" vertical="center" wrapText="1"/>
    </xf>
    <xf numFmtId="3" fontId="5" fillId="0" borderId="66" xfId="0" applyNumberFormat="1" applyFont="1" applyBorder="1" applyAlignment="1">
      <alignment horizontal="center" vertical="center"/>
    </xf>
    <xf numFmtId="3" fontId="5" fillId="0" borderId="49" xfId="0" applyNumberFormat="1" applyFont="1" applyBorder="1" applyAlignment="1">
      <alignment horizontal="center" vertical="center"/>
    </xf>
    <xf numFmtId="3" fontId="5" fillId="0" borderId="64" xfId="0" applyNumberFormat="1" applyFont="1" applyBorder="1" applyAlignment="1">
      <alignment horizontal="center" vertical="center"/>
    </xf>
    <xf numFmtId="3" fontId="5" fillId="0" borderId="47" xfId="0" applyNumberFormat="1" applyFont="1" applyBorder="1" applyAlignment="1">
      <alignment horizontal="center" vertical="center"/>
    </xf>
    <xf numFmtId="3" fontId="5" fillId="0" borderId="58" xfId="0" applyNumberFormat="1" applyFont="1" applyBorder="1" applyAlignment="1">
      <alignment horizontal="center" vertical="center"/>
    </xf>
    <xf numFmtId="3" fontId="5" fillId="0" borderId="54" xfId="0" applyNumberFormat="1" applyFont="1" applyBorder="1" applyAlignment="1">
      <alignment horizontal="center" vertical="center"/>
    </xf>
    <xf numFmtId="3" fontId="30" fillId="4" borderId="47" xfId="0" applyNumberFormat="1" applyFont="1" applyFill="1" applyBorder="1" applyAlignment="1">
      <alignment vertical="center" wrapText="1"/>
    </xf>
    <xf numFmtId="3" fontId="30" fillId="4" borderId="58" xfId="0" applyNumberFormat="1" applyFont="1" applyFill="1" applyBorder="1" applyAlignment="1">
      <alignment vertical="center" wrapText="1"/>
    </xf>
    <xf numFmtId="3" fontId="30" fillId="4" borderId="54" xfId="0" applyNumberFormat="1" applyFont="1" applyFill="1" applyBorder="1" applyAlignment="1">
      <alignment vertical="center" wrapText="1"/>
    </xf>
    <xf numFmtId="3" fontId="5" fillId="4" borderId="3" xfId="0" applyNumberFormat="1" applyFont="1" applyFill="1" applyBorder="1" applyAlignment="1">
      <alignment horizontal="center" vertical="center" wrapText="1"/>
    </xf>
    <xf numFmtId="3" fontId="5" fillId="4" borderId="77" xfId="0" applyNumberFormat="1" applyFont="1" applyFill="1" applyBorder="1" applyAlignment="1">
      <alignment horizontal="center" vertical="center"/>
    </xf>
    <xf numFmtId="3" fontId="5" fillId="4" borderId="78" xfId="0" applyNumberFormat="1" applyFont="1" applyFill="1" applyBorder="1" applyAlignment="1">
      <alignment horizontal="center" vertical="center"/>
    </xf>
    <xf numFmtId="3" fontId="27" fillId="0" borderId="79" xfId="0" applyNumberFormat="1" applyFont="1" applyBorder="1" applyAlignment="1">
      <alignment horizontal="center" vertical="center" wrapText="1"/>
    </xf>
    <xf numFmtId="3" fontId="27" fillId="0" borderId="51" xfId="0" applyNumberFormat="1" applyFont="1" applyBorder="1" applyAlignment="1">
      <alignment horizontal="center" vertical="center" wrapText="1"/>
    </xf>
    <xf numFmtId="3" fontId="27" fillId="0" borderId="80" xfId="0" applyNumberFormat="1" applyFont="1" applyBorder="1" applyAlignment="1">
      <alignment horizontal="center" vertical="center" wrapText="1"/>
    </xf>
    <xf numFmtId="4" fontId="16" fillId="0" borderId="46" xfId="0" applyNumberFormat="1" applyFont="1" applyBorder="1" applyAlignment="1">
      <alignment horizontal="center" vertical="center"/>
    </xf>
    <xf numFmtId="9" fontId="44" fillId="0" borderId="110" xfId="3" applyFont="1" applyBorder="1" applyAlignment="1" applyProtection="1">
      <alignment horizontal="center" vertical="center" wrapText="1"/>
    </xf>
    <xf numFmtId="165" fontId="34" fillId="0" borderId="47" xfId="0" applyFont="1" applyBorder="1" applyAlignment="1">
      <alignment horizontal="center" vertical="center" textRotation="90" wrapText="1"/>
    </xf>
    <xf numFmtId="165" fontId="34" fillId="0" borderId="58" xfId="0" applyFont="1" applyBorder="1" applyAlignment="1">
      <alignment horizontal="center" vertical="center" textRotation="90" wrapText="1"/>
    </xf>
    <xf numFmtId="165" fontId="34" fillId="0" borderId="54" xfId="0" applyFont="1" applyBorder="1" applyAlignment="1">
      <alignment horizontal="center" vertical="center" textRotation="90" wrapText="1"/>
    </xf>
    <xf numFmtId="3" fontId="27" fillId="0" borderId="65" xfId="0" applyNumberFormat="1" applyFont="1" applyBorder="1" applyAlignment="1">
      <alignment horizontal="center" vertical="center" wrapText="1"/>
    </xf>
    <xf numFmtId="3" fontId="27" fillId="0" borderId="76" xfId="0" applyNumberFormat="1" applyFont="1" applyBorder="1" applyAlignment="1">
      <alignment horizontal="center" vertical="center" wrapText="1"/>
    </xf>
    <xf numFmtId="3" fontId="27" fillId="0" borderId="67" xfId="0" applyNumberFormat="1" applyFont="1" applyBorder="1" applyAlignment="1">
      <alignment horizontal="center" vertical="center" wrapText="1"/>
    </xf>
    <xf numFmtId="3" fontId="27" fillId="0" borderId="47" xfId="0" applyNumberFormat="1" applyFont="1" applyBorder="1" applyAlignment="1">
      <alignment vertical="center" wrapText="1"/>
    </xf>
    <xf numFmtId="3" fontId="27" fillId="0" borderId="58" xfId="0" applyNumberFormat="1" applyFont="1" applyBorder="1" applyAlignment="1">
      <alignment vertical="center" wrapText="1"/>
    </xf>
    <xf numFmtId="3" fontId="27" fillId="0" borderId="54" xfId="0" applyNumberFormat="1" applyFont="1" applyBorder="1" applyAlignment="1">
      <alignment vertical="center" wrapText="1"/>
    </xf>
    <xf numFmtId="3" fontId="5" fillId="0" borderId="3" xfId="0" applyNumberFormat="1" applyFont="1" applyBorder="1" applyAlignment="1">
      <alignment horizontal="center" vertical="center"/>
    </xf>
    <xf numFmtId="3" fontId="5" fillId="0" borderId="77" xfId="0" applyNumberFormat="1" applyFont="1" applyBorder="1" applyAlignment="1">
      <alignment horizontal="center" vertical="center"/>
    </xf>
    <xf numFmtId="3" fontId="5" fillId="0" borderId="78" xfId="0" applyNumberFormat="1" applyFont="1" applyBorder="1" applyAlignment="1">
      <alignment horizontal="center" vertical="center"/>
    </xf>
    <xf numFmtId="3" fontId="27" fillId="0" borderId="66" xfId="0" applyNumberFormat="1" applyFont="1" applyBorder="1" applyAlignment="1">
      <alignment vertical="center" wrapText="1"/>
    </xf>
    <xf numFmtId="3" fontId="27" fillId="0" borderId="49" xfId="0" applyNumberFormat="1" applyFont="1" applyBorder="1" applyAlignment="1">
      <alignment vertical="center" wrapText="1"/>
    </xf>
    <xf numFmtId="3" fontId="27" fillId="0" borderId="64" xfId="0" applyNumberFormat="1" applyFont="1" applyBorder="1" applyAlignment="1">
      <alignment vertical="center" wrapText="1"/>
    </xf>
    <xf numFmtId="3" fontId="17" fillId="0" borderId="46" xfId="0" applyNumberFormat="1" applyFont="1" applyBorder="1" applyAlignment="1">
      <alignment horizontal="center" vertical="center"/>
    </xf>
    <xf numFmtId="14" fontId="8" fillId="13" borderId="113" xfId="0" applyNumberFormat="1" applyFont="1" applyFill="1" applyBorder="1" applyAlignment="1" applyProtection="1">
      <alignment horizontal="center" vertical="center"/>
      <protection locked="0"/>
    </xf>
    <xf numFmtId="165" fontId="32" fillId="0" borderId="47" xfId="0" applyFont="1" applyBorder="1" applyAlignment="1">
      <alignment horizontal="center" vertical="center" textRotation="90"/>
    </xf>
    <xf numFmtId="165" fontId="32" fillId="0" borderId="58" xfId="0" applyFont="1" applyBorder="1" applyAlignment="1">
      <alignment horizontal="center" vertical="center" textRotation="90"/>
    </xf>
    <xf numFmtId="165" fontId="32" fillId="0" borderId="54" xfId="0" applyFont="1" applyBorder="1" applyAlignment="1">
      <alignment horizontal="center" vertical="center" textRotation="90"/>
    </xf>
    <xf numFmtId="3" fontId="27" fillId="0" borderId="76" xfId="0" applyNumberFormat="1" applyFont="1" applyBorder="1" applyAlignment="1">
      <alignment vertical="center" wrapText="1"/>
    </xf>
    <xf numFmtId="165" fontId="5" fillId="0" borderId="66" xfId="0" applyFont="1" applyBorder="1" applyAlignment="1">
      <alignment horizontal="center" vertical="center" wrapText="1"/>
    </xf>
    <xf numFmtId="165" fontId="5" fillId="0" borderId="49" xfId="0" applyFont="1" applyBorder="1" applyAlignment="1">
      <alignment horizontal="center" vertical="center" wrapText="1"/>
    </xf>
    <xf numFmtId="165" fontId="5" fillId="0" borderId="64" xfId="0" applyFont="1" applyBorder="1" applyAlignment="1">
      <alignment horizontal="center" vertical="center" wrapText="1"/>
    </xf>
    <xf numFmtId="0" fontId="19" fillId="11" borderId="0" xfId="0" applyNumberFormat="1" applyFont="1" applyFill="1" applyAlignment="1">
      <alignment horizontal="center" vertical="center"/>
    </xf>
    <xf numFmtId="165" fontId="8" fillId="12" borderId="5" xfId="0" applyFont="1" applyFill="1" applyBorder="1" applyAlignment="1">
      <alignment horizontal="center" vertical="center"/>
    </xf>
    <xf numFmtId="165" fontId="8" fillId="12" borderId="6" xfId="0" applyFont="1" applyFill="1" applyBorder="1" applyAlignment="1">
      <alignment horizontal="center" vertical="center"/>
    </xf>
    <xf numFmtId="165" fontId="8" fillId="12" borderId="4" xfId="0" applyFont="1" applyFill="1" applyBorder="1" applyAlignment="1">
      <alignment horizontal="center" vertical="center"/>
    </xf>
    <xf numFmtId="165" fontId="8" fillId="0" borderId="10" xfId="0" applyFont="1" applyBorder="1" applyAlignment="1">
      <alignment horizontal="center" vertical="center"/>
    </xf>
    <xf numFmtId="168" fontId="39" fillId="13" borderId="114" xfId="0" applyNumberFormat="1" applyFont="1" applyFill="1" applyBorder="1" applyAlignment="1" applyProtection="1">
      <alignment horizontal="center" vertical="center"/>
      <protection locked="0"/>
    </xf>
    <xf numFmtId="168" fontId="39" fillId="13" borderId="115" xfId="0" applyNumberFormat="1" applyFont="1" applyFill="1" applyBorder="1" applyAlignment="1" applyProtection="1">
      <alignment horizontal="center" vertical="center"/>
      <protection locked="0"/>
    </xf>
    <xf numFmtId="168" fontId="39" fillId="13" borderId="116" xfId="0" applyNumberFormat="1" applyFont="1" applyFill="1" applyBorder="1" applyAlignment="1" applyProtection="1">
      <alignment horizontal="center" vertical="center"/>
      <protection locked="0"/>
    </xf>
    <xf numFmtId="168" fontId="39" fillId="13" borderId="117" xfId="0" applyNumberFormat="1" applyFont="1" applyFill="1" applyBorder="1" applyAlignment="1" applyProtection="1">
      <alignment horizontal="center" vertical="center"/>
      <protection locked="0"/>
    </xf>
    <xf numFmtId="0" fontId="43" fillId="13" borderId="118" xfId="0" applyNumberFormat="1" applyFont="1" applyFill="1" applyBorder="1" applyAlignment="1" applyProtection="1">
      <alignment horizontal="center" vertical="center" wrapText="1"/>
      <protection locked="0"/>
    </xf>
    <xf numFmtId="0" fontId="43" fillId="13" borderId="119" xfId="0" applyNumberFormat="1" applyFont="1" applyFill="1" applyBorder="1" applyAlignment="1" applyProtection="1">
      <alignment horizontal="center" vertical="center" wrapText="1"/>
      <protection locked="0"/>
    </xf>
    <xf numFmtId="9" fontId="17" fillId="0" borderId="46" xfId="3" applyFont="1" applyBorder="1" applyAlignment="1" applyProtection="1">
      <alignment horizontal="center" vertical="center"/>
    </xf>
    <xf numFmtId="165" fontId="3" fillId="9" borderId="121" xfId="0" applyFont="1" applyFill="1" applyBorder="1" applyAlignment="1">
      <alignment horizontal="center"/>
    </xf>
    <xf numFmtId="165" fontId="3" fillId="9" borderId="122" xfId="0" applyFont="1" applyFill="1" applyBorder="1" applyAlignment="1">
      <alignment horizontal="center"/>
    </xf>
    <xf numFmtId="0" fontId="38" fillId="7" borderId="21" xfId="0" applyNumberFormat="1" applyFont="1" applyFill="1" applyBorder="1" applyAlignment="1">
      <alignment horizontal="center" vertical="center" wrapText="1"/>
    </xf>
    <xf numFmtId="0" fontId="38" fillId="7" borderId="109" xfId="0" applyNumberFormat="1" applyFont="1" applyFill="1" applyBorder="1" applyAlignment="1">
      <alignment horizontal="center" vertical="center"/>
    </xf>
    <xf numFmtId="0" fontId="38" fillId="7" borderId="108" xfId="0" applyNumberFormat="1" applyFont="1" applyFill="1" applyBorder="1" applyAlignment="1">
      <alignment horizontal="center" vertical="center"/>
    </xf>
    <xf numFmtId="9" fontId="8" fillId="7" borderId="15" xfId="0" applyNumberFormat="1" applyFont="1" applyFill="1" applyBorder="1" applyAlignment="1">
      <alignment horizontal="center" vertical="center"/>
    </xf>
    <xf numFmtId="9" fontId="8" fillId="7" borderId="69" xfId="0" applyNumberFormat="1" applyFont="1" applyFill="1" applyBorder="1" applyAlignment="1">
      <alignment horizontal="center" vertical="center"/>
    </xf>
    <xf numFmtId="165" fontId="37" fillId="6" borderId="68" xfId="0" applyFont="1" applyFill="1" applyBorder="1" applyAlignment="1">
      <alignment horizontal="center" vertical="center"/>
    </xf>
    <xf numFmtId="165" fontId="37" fillId="6" borderId="75" xfId="0" applyFont="1" applyFill="1" applyBorder="1" applyAlignment="1">
      <alignment horizontal="center" vertical="center"/>
    </xf>
    <xf numFmtId="165" fontId="37" fillId="6" borderId="107" xfId="0" applyFont="1" applyFill="1" applyBorder="1" applyAlignment="1">
      <alignment horizontal="center" vertical="center"/>
    </xf>
    <xf numFmtId="165" fontId="8" fillId="0" borderId="81" xfId="0" applyFont="1" applyBorder="1" applyAlignment="1">
      <alignment horizontal="center" vertical="center" wrapText="1"/>
    </xf>
    <xf numFmtId="165" fontId="8" fillId="0" borderId="82" xfId="0" applyFont="1" applyBorder="1" applyAlignment="1">
      <alignment horizontal="center" vertical="center"/>
    </xf>
    <xf numFmtId="165" fontId="8" fillId="0" borderId="83" xfId="0" applyFont="1" applyBorder="1" applyAlignment="1">
      <alignment horizontal="center" vertical="center"/>
    </xf>
    <xf numFmtId="165" fontId="14" fillId="0" borderId="84" xfId="0" applyFont="1" applyBorder="1" applyAlignment="1">
      <alignment horizontal="left" vertical="center" wrapText="1"/>
    </xf>
    <xf numFmtId="165" fontId="14" fillId="0" borderId="75" xfId="0" applyFont="1" applyBorder="1" applyAlignment="1">
      <alignment horizontal="left" vertical="center" wrapText="1"/>
    </xf>
    <xf numFmtId="165" fontId="14" fillId="0" borderId="85" xfId="0" applyFont="1" applyBorder="1" applyAlignment="1">
      <alignment horizontal="left" vertical="center" wrapText="1"/>
    </xf>
    <xf numFmtId="165" fontId="20" fillId="0" borderId="84" xfId="0" applyFont="1" applyBorder="1" applyAlignment="1">
      <alignment horizontal="left" vertical="center" wrapText="1"/>
    </xf>
    <xf numFmtId="165" fontId="11" fillId="0" borderId="75" xfId="0" applyFont="1" applyBorder="1" applyAlignment="1">
      <alignment horizontal="left" vertical="center" wrapText="1"/>
    </xf>
    <xf numFmtId="165" fontId="11" fillId="0" borderId="85" xfId="0" applyFont="1" applyBorder="1" applyAlignment="1">
      <alignment horizontal="left" vertical="center" wrapText="1"/>
    </xf>
    <xf numFmtId="165" fontId="9" fillId="0" borderId="86" xfId="0" applyFont="1" applyBorder="1" applyAlignment="1">
      <alignment horizontal="center" vertical="center"/>
    </xf>
    <xf numFmtId="165" fontId="9" fillId="0" borderId="87" xfId="0" applyFont="1" applyBorder="1" applyAlignment="1">
      <alignment horizontal="center" vertical="center"/>
    </xf>
    <xf numFmtId="165" fontId="9" fillId="0" borderId="88" xfId="0" applyFont="1" applyBorder="1" applyAlignment="1">
      <alignment horizontal="center" vertical="center"/>
    </xf>
    <xf numFmtId="165" fontId="22" fillId="0" borderId="89" xfId="0" applyFont="1" applyBorder="1" applyAlignment="1">
      <alignment horizontal="center" vertical="center" wrapText="1"/>
    </xf>
    <xf numFmtId="165" fontId="22" fillId="0" borderId="90" xfId="0" applyFont="1" applyBorder="1" applyAlignment="1">
      <alignment horizontal="center" vertical="center" wrapText="1"/>
    </xf>
    <xf numFmtId="165" fontId="22" fillId="0" borderId="91" xfId="0" applyFont="1" applyBorder="1" applyAlignment="1">
      <alignment horizontal="center" vertical="center" wrapText="1"/>
    </xf>
    <xf numFmtId="165" fontId="22" fillId="0" borderId="92" xfId="0" applyFont="1" applyBorder="1" applyAlignment="1">
      <alignment horizontal="center" vertical="center" wrapText="1"/>
    </xf>
    <xf numFmtId="165" fontId="22" fillId="0" borderId="93" xfId="0" applyFont="1" applyBorder="1" applyAlignment="1">
      <alignment horizontal="center" vertical="center" wrapText="1"/>
    </xf>
    <xf numFmtId="165" fontId="22" fillId="0" borderId="94" xfId="0" applyFont="1" applyBorder="1" applyAlignment="1">
      <alignment horizontal="center" vertical="center" wrapText="1"/>
    </xf>
    <xf numFmtId="165" fontId="22" fillId="0" borderId="32" xfId="0" applyFont="1" applyBorder="1" applyAlignment="1">
      <alignment horizontal="center" vertical="center" wrapText="1"/>
    </xf>
    <xf numFmtId="165" fontId="23" fillId="0" borderId="94" xfId="0" applyFont="1" applyBorder="1" applyAlignment="1">
      <alignment horizontal="center" vertical="center" wrapText="1"/>
    </xf>
    <xf numFmtId="165" fontId="23" fillId="0" borderId="32" xfId="0" applyFont="1" applyBorder="1" applyAlignment="1">
      <alignment horizontal="center" vertical="center" wrapText="1"/>
    </xf>
    <xf numFmtId="165" fontId="23" fillId="0" borderId="89" xfId="0" applyFont="1" applyBorder="1" applyAlignment="1">
      <alignment horizontal="center" vertical="center" wrapText="1"/>
    </xf>
    <xf numFmtId="165" fontId="23" fillId="0" borderId="90" xfId="0" applyFont="1" applyBorder="1" applyAlignment="1">
      <alignment horizontal="center" vertical="center" wrapText="1"/>
    </xf>
    <xf numFmtId="165" fontId="23" fillId="0" borderId="91" xfId="0" applyFont="1" applyBorder="1" applyAlignment="1">
      <alignment horizontal="center" vertical="center" wrapText="1"/>
    </xf>
    <xf numFmtId="165" fontId="23" fillId="0" borderId="92" xfId="0" applyFont="1" applyBorder="1" applyAlignment="1">
      <alignment horizontal="center" vertical="center" wrapText="1"/>
    </xf>
    <xf numFmtId="165" fontId="23" fillId="0" borderId="93" xfId="0" applyFont="1" applyBorder="1" applyAlignment="1">
      <alignment horizontal="center" vertical="center" wrapText="1"/>
    </xf>
    <xf numFmtId="165" fontId="9" fillId="0" borderId="95" xfId="0" applyFont="1" applyBorder="1" applyAlignment="1">
      <alignment horizontal="center" vertical="center"/>
    </xf>
    <xf numFmtId="165" fontId="9" fillId="0" borderId="96" xfId="0" applyFont="1" applyBorder="1" applyAlignment="1">
      <alignment horizontal="center" vertical="center"/>
    </xf>
    <xf numFmtId="165" fontId="9" fillId="0" borderId="97" xfId="0" applyFont="1" applyBorder="1" applyAlignment="1">
      <alignment horizontal="center" vertical="center"/>
    </xf>
    <xf numFmtId="165" fontId="23" fillId="0" borderId="98" xfId="0" applyFont="1" applyBorder="1" applyAlignment="1">
      <alignment horizontal="center" vertical="center" wrapText="1"/>
    </xf>
    <xf numFmtId="165" fontId="8" fillId="0" borderId="74" xfId="0" applyFont="1" applyBorder="1" applyAlignment="1">
      <alignment horizontal="center" vertical="center"/>
    </xf>
    <xf numFmtId="165" fontId="8" fillId="0" borderId="75" xfId="0" applyFont="1" applyBorder="1" applyAlignment="1">
      <alignment horizontal="center" vertical="center"/>
    </xf>
    <xf numFmtId="165" fontId="8" fillId="0" borderId="99" xfId="0" applyFont="1" applyBorder="1" applyAlignment="1">
      <alignment horizontal="center" vertical="center"/>
    </xf>
    <xf numFmtId="165" fontId="22" fillId="0" borderId="100" xfId="0" applyFont="1" applyBorder="1" applyAlignment="1">
      <alignment horizontal="left" vertical="center" wrapText="1"/>
    </xf>
    <xf numFmtId="165" fontId="22" fillId="0" borderId="101" xfId="0" applyFont="1" applyBorder="1" applyAlignment="1">
      <alignment horizontal="left" vertical="center" wrapText="1"/>
    </xf>
    <xf numFmtId="165" fontId="22" fillId="0" borderId="102" xfId="0" applyFont="1" applyBorder="1" applyAlignment="1">
      <alignment horizontal="left" vertical="center" wrapText="1"/>
    </xf>
    <xf numFmtId="165" fontId="22" fillId="0" borderId="91" xfId="0" applyFont="1" applyBorder="1" applyAlignment="1">
      <alignment horizontal="left" vertical="center" wrapText="1"/>
    </xf>
    <xf numFmtId="165" fontId="22" fillId="0" borderId="92" xfId="0" applyFont="1" applyBorder="1" applyAlignment="1">
      <alignment horizontal="left" vertical="center" wrapText="1"/>
    </xf>
    <xf numFmtId="165" fontId="22" fillId="0" borderId="103" xfId="0" applyFont="1" applyBorder="1" applyAlignment="1">
      <alignment horizontal="left" vertical="center" wrapText="1"/>
    </xf>
    <xf numFmtId="165" fontId="9" fillId="0" borderId="104" xfId="0" applyFont="1" applyBorder="1" applyAlignment="1">
      <alignment horizontal="center" vertical="center"/>
    </xf>
    <xf numFmtId="165" fontId="9" fillId="0" borderId="105" xfId="0" applyFont="1" applyBorder="1" applyAlignment="1">
      <alignment horizontal="center" vertical="center"/>
    </xf>
    <xf numFmtId="165" fontId="9" fillId="0" borderId="106" xfId="0" applyFont="1" applyBorder="1" applyAlignment="1">
      <alignment horizontal="center" vertical="center"/>
    </xf>
    <xf numFmtId="165" fontId="20" fillId="0" borderId="74" xfId="0" applyFont="1" applyBorder="1" applyAlignment="1">
      <alignment horizontal="center" vertical="center" wrapText="1"/>
    </xf>
    <xf numFmtId="165" fontId="20" fillId="0" borderId="75" xfId="0" applyFont="1" applyBorder="1" applyAlignment="1">
      <alignment horizontal="center" vertical="center" wrapText="1"/>
    </xf>
    <xf numFmtId="165" fontId="20" fillId="0" borderId="99" xfId="0" applyFont="1" applyBorder="1" applyAlignment="1">
      <alignment horizontal="center" vertical="center" wrapText="1"/>
    </xf>
    <xf numFmtId="165" fontId="14" fillId="0" borderId="84" xfId="0" applyFont="1" applyBorder="1" applyAlignment="1">
      <alignment horizontal="center" vertical="center" wrapText="1"/>
    </xf>
    <xf numFmtId="165" fontId="14" fillId="0" borderId="75" xfId="0" applyFont="1" applyBorder="1" applyAlignment="1">
      <alignment horizontal="center" vertical="center" wrapText="1"/>
    </xf>
    <xf numFmtId="165" fontId="14" fillId="0" borderId="85" xfId="0" applyFont="1" applyBorder="1" applyAlignment="1">
      <alignment horizontal="center" vertical="center" wrapText="1"/>
    </xf>
  </cellXfs>
  <cellStyles count="4">
    <cellStyle name="Ezres" xfId="1" builtinId="3"/>
    <cellStyle name="Normál" xfId="0" builtinId="0"/>
    <cellStyle name="Pénznem" xfId="2" builtinId="4"/>
    <cellStyle name="Százalék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pageSetUpPr fitToPage="1"/>
  </sheetPr>
  <dimension ref="A1:Q59"/>
  <sheetViews>
    <sheetView workbookViewId="0">
      <selection activeCell="I12" sqref="I12"/>
    </sheetView>
  </sheetViews>
  <sheetFormatPr defaultColWidth="9.1796875" defaultRowHeight="12.5" x14ac:dyDescent="0.25"/>
  <cols>
    <col min="1" max="1" width="19.54296875" bestFit="1" customWidth="1"/>
    <col min="2" max="2" width="19.54296875" customWidth="1"/>
    <col min="3" max="3" width="19.26953125" customWidth="1"/>
    <col min="4" max="4" width="11.54296875" bestFit="1" customWidth="1"/>
    <col min="5" max="5" width="11.54296875" customWidth="1"/>
    <col min="6" max="6" width="13.453125" bestFit="1" customWidth="1"/>
    <col min="7" max="7" width="13.453125" customWidth="1"/>
    <col min="8" max="8" width="13.453125" bestFit="1" customWidth="1"/>
    <col min="9" max="11" width="14.54296875" bestFit="1" customWidth="1"/>
    <col min="12" max="12" width="15.26953125" bestFit="1" customWidth="1"/>
    <col min="13" max="13" width="22.7265625" bestFit="1" customWidth="1"/>
    <col min="17" max="17" width="9.54296875" bestFit="1" customWidth="1"/>
  </cols>
  <sheetData>
    <row r="1" spans="1:17" ht="18" x14ac:dyDescent="0.25">
      <c r="A1" s="203">
        <v>2011</v>
      </c>
      <c r="B1" s="204"/>
      <c r="C1" s="204"/>
      <c r="D1" s="204"/>
      <c r="E1" s="204"/>
      <c r="F1" s="204"/>
      <c r="G1" s="204"/>
      <c r="H1" s="204"/>
      <c r="I1" s="204"/>
      <c r="J1" s="204"/>
      <c r="K1" s="205"/>
      <c r="L1" s="36"/>
    </row>
    <row r="2" spans="1:17" ht="20.25" customHeight="1" thickBot="1" x14ac:dyDescent="0.3">
      <c r="A2" s="206"/>
      <c r="B2" s="207"/>
      <c r="C2" s="207"/>
      <c r="D2" s="207"/>
      <c r="E2" s="207"/>
      <c r="F2" s="207"/>
      <c r="G2" s="207"/>
      <c r="H2" s="207"/>
      <c r="I2" s="207"/>
      <c r="J2" s="207"/>
      <c r="K2" s="208"/>
    </row>
    <row r="3" spans="1:17" ht="27" customHeight="1" x14ac:dyDescent="0.25">
      <c r="A3" s="50" t="s">
        <v>0</v>
      </c>
      <c r="B3" s="209" t="s">
        <v>1</v>
      </c>
      <c r="C3" s="210"/>
      <c r="D3" s="51"/>
      <c r="E3" s="52"/>
      <c r="G3" s="220">
        <v>31</v>
      </c>
      <c r="H3" s="221"/>
      <c r="I3" s="216" t="s">
        <v>2</v>
      </c>
      <c r="J3" s="217"/>
      <c r="K3" s="40" t="s">
        <v>3</v>
      </c>
    </row>
    <row r="4" spans="1:17" ht="33" customHeight="1" thickBot="1" x14ac:dyDescent="0.75">
      <c r="A4" s="53">
        <f ca="1">TODAY()</f>
        <v>45649</v>
      </c>
      <c r="B4" s="211">
        <f ca="1">TODAY()+30</f>
        <v>45679</v>
      </c>
      <c r="C4" s="212"/>
      <c r="D4" s="54">
        <f ca="1">B4-A4+1</f>
        <v>31</v>
      </c>
      <c r="E4" s="55"/>
      <c r="G4" s="222"/>
      <c r="H4" s="223"/>
      <c r="I4" s="218">
        <v>0</v>
      </c>
      <c r="J4" s="219"/>
      <c r="K4" s="37">
        <v>0.27</v>
      </c>
    </row>
    <row r="5" spans="1:17" ht="25.5" thickBot="1" x14ac:dyDescent="0.3">
      <c r="A5" s="228" t="s">
        <v>4</v>
      </c>
      <c r="B5" s="229"/>
      <c r="C5" s="229"/>
      <c r="D5" s="229"/>
      <c r="E5" s="229"/>
      <c r="F5" s="229"/>
      <c r="G5" s="230"/>
      <c r="H5" s="230"/>
      <c r="I5" s="230"/>
      <c r="J5" s="230"/>
      <c r="K5" s="231"/>
    </row>
    <row r="6" spans="1:17" ht="16" thickBot="1" x14ac:dyDescent="0.4">
      <c r="A6" s="2" t="s">
        <v>5</v>
      </c>
      <c r="B6" s="3"/>
      <c r="C6" s="3" t="s">
        <v>6</v>
      </c>
      <c r="D6" s="3" t="s">
        <v>7</v>
      </c>
      <c r="E6" s="3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14</v>
      </c>
      <c r="L6" s="4" t="s">
        <v>15</v>
      </c>
      <c r="N6" s="38"/>
      <c r="O6" s="38"/>
      <c r="P6" s="38"/>
      <c r="Q6" s="38"/>
    </row>
    <row r="7" spans="1:17" ht="15.75" customHeight="1" x14ac:dyDescent="0.35">
      <c r="A7" s="213" t="s">
        <v>16</v>
      </c>
      <c r="B7" s="5" t="s">
        <v>17</v>
      </c>
      <c r="C7" s="6"/>
      <c r="D7" s="7"/>
      <c r="E7" s="7"/>
      <c r="F7" s="7"/>
      <c r="G7" s="7"/>
      <c r="H7" s="7"/>
      <c r="I7" s="7"/>
      <c r="J7" s="7"/>
      <c r="K7" s="7"/>
      <c r="L7" s="8"/>
    </row>
    <row r="8" spans="1:17" ht="16.5" customHeight="1" thickBot="1" x14ac:dyDescent="0.35">
      <c r="A8" s="214"/>
      <c r="B8" s="9" t="s">
        <v>18</v>
      </c>
      <c r="C8" s="10"/>
      <c r="D8" s="11">
        <f>'övezetek rendelet szeint'!B6/'övezetek rendelet szeint'!$K$5/365*$G$3-'övezetek rendelet szeint'!B6/'övezetek rendelet szeint'!$K$5/365*$G$3*$I$4</f>
        <v>4280.5479452054797</v>
      </c>
      <c r="E8" s="11">
        <f>'övezetek rendelet szeint'!C6/'övezetek rendelet szeint'!$K$5/365*$G$3-'övezetek rendelet szeint'!C6/'övezetek rendelet szeint'!$K$5/365*$G$3*$I$4</f>
        <v>4494.5753424657532</v>
      </c>
      <c r="F8" s="11">
        <f>'övezetek rendelet szeint'!D6/'övezetek rendelet szeint'!$K$5/365*$G$3-'övezetek rendelet szeint'!D6/'övezetek rendelet szeint'!$K$5/365*$G$3*$I$4</f>
        <v>7191.3205479452054</v>
      </c>
      <c r="G8" s="11">
        <f>'övezetek rendelet szeint'!E6/'övezetek rendelet szeint'!$K$5/365*$G$3-'övezetek rendelet szeint'!E6/'övezetek rendelet szeint'!$K$5/365*$G$3*$I$4</f>
        <v>7191.3205479452054</v>
      </c>
      <c r="H8" s="11">
        <f>'övezetek rendelet szeint'!F6/'övezetek rendelet szeint'!$K$5/365*$G$3-'övezetek rendelet szeint'!F6/'övezetek rendelet szeint'!$K$5/365*$G$3*$I$4</f>
        <v>10786.980821917808</v>
      </c>
      <c r="I8" s="11">
        <f>'övezetek rendelet szeint'!G6/'övezetek rendelet szeint'!$K$5/365*$G$3-'övezetek rendelet szeint'!G6/'övezetek rendelet szeint'!$K$5/365*$G$3*$I$4</f>
        <v>10786.980821917808</v>
      </c>
      <c r="J8" s="11">
        <f>'övezetek rendelet szeint'!H6/'övezetek rendelet szeint'!$K$5/365*$G$3-'övezetek rendelet szeint'!H6/'övezetek rendelet szeint'!$K$5/365*$G$3*$I$4</f>
        <v>17978.301369863013</v>
      </c>
      <c r="K8" s="11">
        <f>'övezetek rendelet szeint'!I6/'övezetek rendelet szeint'!$K$5/365*$G$3-'övezetek rendelet szeint'!I6/'övezetek rendelet szeint'!$K$5/365*$G$3*$I$4</f>
        <v>33174.246575342469</v>
      </c>
      <c r="L8" s="11">
        <f>'övezetek rendelet szeint'!J6/'övezetek rendelet szeint'!$K$5/365*$G$3-'övezetek rendelet szeint'!J6/'övezetek rendelet szeint'!$K$5/365*$G$3*$I$4</f>
        <v>53934.904109589035</v>
      </c>
    </row>
    <row r="9" spans="1:17" ht="15.75" customHeight="1" x14ac:dyDescent="0.35">
      <c r="A9" s="214"/>
      <c r="B9" s="60" t="s">
        <v>19</v>
      </c>
      <c r="C9" s="62"/>
      <c r="D9" s="58">
        <f>SUM(D7:D8)</f>
        <v>4280.5479452054797</v>
      </c>
      <c r="E9" s="58">
        <f t="shared" ref="E9:L9" si="0">SUM(E7:E8)</f>
        <v>4494.5753424657532</v>
      </c>
      <c r="F9" s="58">
        <f>SUM(F7:F8)</f>
        <v>7191.3205479452054</v>
      </c>
      <c r="G9" s="58">
        <f t="shared" si="0"/>
        <v>7191.3205479452054</v>
      </c>
      <c r="H9" s="58">
        <f>SUM(H7:H8)</f>
        <v>10786.980821917808</v>
      </c>
      <c r="I9" s="58">
        <f t="shared" si="0"/>
        <v>10786.980821917808</v>
      </c>
      <c r="J9" s="58">
        <f t="shared" si="0"/>
        <v>17978.301369863013</v>
      </c>
      <c r="K9" s="58">
        <f t="shared" si="0"/>
        <v>33174.246575342469</v>
      </c>
      <c r="L9" s="59">
        <f t="shared" si="0"/>
        <v>53934.904109589035</v>
      </c>
    </row>
    <row r="10" spans="1:17" ht="15.75" customHeight="1" thickBot="1" x14ac:dyDescent="0.4">
      <c r="A10" s="215"/>
      <c r="B10" s="12" t="s">
        <v>20</v>
      </c>
      <c r="C10" s="13"/>
      <c r="D10" s="14">
        <f>D9*(1+$K$4)</f>
        <v>5436.2958904109591</v>
      </c>
      <c r="E10" s="14">
        <f t="shared" ref="E10:L10" si="1">E9*(1+$K$4)</f>
        <v>5708.1106849315065</v>
      </c>
      <c r="F10" s="14">
        <f t="shared" si="1"/>
        <v>9132.9770958904101</v>
      </c>
      <c r="G10" s="14">
        <f t="shared" si="1"/>
        <v>9132.9770958904101</v>
      </c>
      <c r="H10" s="14">
        <f t="shared" si="1"/>
        <v>13699.465643835618</v>
      </c>
      <c r="I10" s="14">
        <f t="shared" si="1"/>
        <v>13699.465643835618</v>
      </c>
      <c r="J10" s="14">
        <f t="shared" si="1"/>
        <v>22832.442739726026</v>
      </c>
      <c r="K10" s="14">
        <f t="shared" si="1"/>
        <v>42131.293150684935</v>
      </c>
      <c r="L10" s="15">
        <f t="shared" si="1"/>
        <v>68497.328219178075</v>
      </c>
    </row>
    <row r="11" spans="1:17" ht="15.75" customHeight="1" x14ac:dyDescent="0.35">
      <c r="A11" s="213" t="s">
        <v>21</v>
      </c>
      <c r="B11" s="16" t="s">
        <v>17</v>
      </c>
      <c r="C11" s="17"/>
      <c r="D11" s="18"/>
      <c r="E11" s="18"/>
      <c r="F11" s="18"/>
      <c r="G11" s="18"/>
      <c r="H11" s="18"/>
      <c r="I11" s="18"/>
      <c r="J11" s="18"/>
      <c r="K11" s="18"/>
      <c r="L11" s="19"/>
    </row>
    <row r="12" spans="1:17" ht="16.5" customHeight="1" thickBot="1" x14ac:dyDescent="0.35">
      <c r="A12" s="214"/>
      <c r="B12" s="20" t="s">
        <v>18</v>
      </c>
      <c r="C12" s="21"/>
      <c r="D12" s="22"/>
      <c r="E12" s="22"/>
      <c r="F12" s="11">
        <f>'övezetek rendelet szeint'!D12/'övezetek rendelet szeint'!K5/365*$G$3-'övezetek rendelet szeint'!D126/'övezetek rendelet szeint'!$K$5/365*$G$3*$I$4</f>
        <v>4280.5479452054797</v>
      </c>
      <c r="G12" s="11">
        <f>'övezetek rendelet szeint'!E12/'övezetek rendelet szeint'!$K$5/365*$G$3-'övezetek rendelet szeint'!E12/'övezetek rendelet szeint'!$K$5/365*$G$3*$I$4</f>
        <v>6292.4054794520544</v>
      </c>
      <c r="H12" s="11">
        <f>'övezetek rendelet szeint'!F12/'övezetek rendelet szeint'!$K$5/365*$G$3-'övezetek rendelet szeint'!F12/'övezetek rendelet szeint'!$K$5/365*$G$3*$I$4</f>
        <v>8090.2356164383564</v>
      </c>
      <c r="I12" s="11">
        <f>'övezetek rendelet szeint'!G12/'övezetek rendelet szeint'!$K$5/365*$G$3-'övezetek rendelet szeint'!G12/'övezetek rendelet szeint'!$K$5/365*$G$3*$I$4</f>
        <v>8090.2356164383564</v>
      </c>
      <c r="J12" s="11">
        <f>'övezetek rendelet szeint'!H12/'övezetek rendelet szeint'!$K$5/365*$G$3-'övezetek rendelet szeint'!H12/'övezetek rendelet szeint'!$K$5/365*$G$3*$I$4</f>
        <v>13483.726027397259</v>
      </c>
      <c r="K12" s="11">
        <f>'övezetek rendelet szeint'!I12/'övezetek rendelet szeint'!$K$5/365*$G$3-'övezetek rendelet szeint'!I12/'övezetek rendelet szeint'!$K$5/365*$G$3*$I$4</f>
        <v>26967.452054794518</v>
      </c>
      <c r="L12" s="11">
        <f>'övezetek rendelet szeint'!J12/'övezetek rendelet szeint'!$K$5/365*$G$3-'övezetek rendelet szeint'!J12/'övezetek rendelet szeint'!$K$5/365*$G$3*$I$4</f>
        <v>44945.753424657531</v>
      </c>
    </row>
    <row r="13" spans="1:17" ht="15.75" customHeight="1" x14ac:dyDescent="0.35">
      <c r="A13" s="214"/>
      <c r="B13" s="60" t="s">
        <v>19</v>
      </c>
      <c r="C13" s="57"/>
      <c r="D13" s="58"/>
      <c r="E13" s="58"/>
      <c r="F13" s="58">
        <f t="shared" ref="F13:L13" si="2">SUM(F11:F12)</f>
        <v>4280.5479452054797</v>
      </c>
      <c r="G13" s="58">
        <f t="shared" si="2"/>
        <v>6292.4054794520544</v>
      </c>
      <c r="H13" s="58">
        <f t="shared" si="2"/>
        <v>8090.2356164383564</v>
      </c>
      <c r="I13" s="58">
        <f t="shared" si="2"/>
        <v>8090.2356164383564</v>
      </c>
      <c r="J13" s="58">
        <f t="shared" si="2"/>
        <v>13483.726027397259</v>
      </c>
      <c r="K13" s="58">
        <f t="shared" si="2"/>
        <v>26967.452054794518</v>
      </c>
      <c r="L13" s="59">
        <f t="shared" si="2"/>
        <v>44945.753424657531</v>
      </c>
    </row>
    <row r="14" spans="1:17" ht="15.75" customHeight="1" thickBot="1" x14ac:dyDescent="0.4">
      <c r="A14" s="215"/>
      <c r="B14" s="23" t="s">
        <v>20</v>
      </c>
      <c r="C14" s="24"/>
      <c r="D14" s="14"/>
      <c r="E14" s="14"/>
      <c r="F14" s="14">
        <f t="shared" ref="F14:L14" si="3">F13*(1+$K$4)</f>
        <v>5436.2958904109591</v>
      </c>
      <c r="G14" s="14">
        <f t="shared" si="3"/>
        <v>7991.3549589041095</v>
      </c>
      <c r="H14" s="14">
        <f t="shared" si="3"/>
        <v>10274.599232876713</v>
      </c>
      <c r="I14" s="14">
        <f t="shared" si="3"/>
        <v>10274.599232876713</v>
      </c>
      <c r="J14" s="14">
        <f t="shared" si="3"/>
        <v>17124.332054794519</v>
      </c>
      <c r="K14" s="14">
        <f t="shared" si="3"/>
        <v>34248.664109589037</v>
      </c>
      <c r="L14" s="15">
        <f t="shared" si="3"/>
        <v>57081.106849315067</v>
      </c>
    </row>
    <row r="15" spans="1:17" ht="15.75" customHeight="1" x14ac:dyDescent="0.35">
      <c r="A15" s="213" t="s">
        <v>22</v>
      </c>
      <c r="B15" s="25" t="s">
        <v>17</v>
      </c>
      <c r="C15" s="26"/>
      <c r="D15" s="7"/>
      <c r="E15" s="7"/>
      <c r="F15" s="7"/>
      <c r="G15" s="7"/>
      <c r="H15" s="18"/>
      <c r="I15" s="7"/>
      <c r="J15" s="7"/>
      <c r="K15" s="7"/>
      <c r="L15" s="8"/>
    </row>
    <row r="16" spans="1:17" ht="16.5" customHeight="1" thickBot="1" x14ac:dyDescent="0.35">
      <c r="A16" s="214"/>
      <c r="B16" s="20" t="s">
        <v>18</v>
      </c>
      <c r="C16" s="21"/>
      <c r="D16" s="21"/>
      <c r="E16" s="21"/>
      <c r="F16" s="11"/>
      <c r="G16" s="11"/>
      <c r="H16" s="11">
        <f>'övezetek rendelet szeint'!F18/'övezetek rendelet szeint'!$K$5/365*$G$3-'övezetek rendelet szeint'!F18/'övezetek rendelet szeint'!$K$5/365*$G$3*$I$4</f>
        <v>4280.5479452054797</v>
      </c>
      <c r="I16" s="11">
        <f>'övezetek rendelet szeint'!G18/'övezetek rendelet szeint'!$K$5/365*$G$3-'övezetek rendelet szeint'!G18/'övezetek rendelet szeint'!$K$5/365*$G$3*$I$4</f>
        <v>7191.3205479452054</v>
      </c>
      <c r="J16" s="11">
        <f>'övezetek rendelet szeint'!H18/'övezetek rendelet szeint'!$K$5/365*$G$3-'övezetek rendelet szeint'!H18/'övezetek rendelet szeint'!$K$5/365*$G$3*$I$4</f>
        <v>10786.980821917808</v>
      </c>
      <c r="K16" s="11">
        <f>'övezetek rendelet szeint'!I18/'övezetek rendelet szeint'!$K$5/365*$G$3-'övezetek rendelet szeint'!I18/'övezetek rendelet szeint'!$K$5/365*$G$3*$I$4</f>
        <v>17978.301369863013</v>
      </c>
      <c r="L16" s="11">
        <f>'övezetek rendelet szeint'!J18/'övezetek rendelet szeint'!$K$5/365*$G$3-'övezetek rendelet szeint'!J18/'övezetek rendelet szeint'!$K$5/365*$G$3*$I$4</f>
        <v>33174.246575342469</v>
      </c>
    </row>
    <row r="17" spans="1:12" ht="16.5" customHeight="1" x14ac:dyDescent="0.35">
      <c r="A17" s="214"/>
      <c r="B17" s="60" t="s">
        <v>19</v>
      </c>
      <c r="C17" s="57"/>
      <c r="D17" s="58"/>
      <c r="E17" s="58"/>
      <c r="F17" s="58"/>
      <c r="G17" s="58"/>
      <c r="H17" s="61">
        <f>SUM(H15:H16)</f>
        <v>4280.5479452054797</v>
      </c>
      <c r="I17" s="61">
        <f>SUM(I15:I16)</f>
        <v>7191.3205479452054</v>
      </c>
      <c r="J17" s="61">
        <f>SUM(J15:J16)</f>
        <v>10786.980821917808</v>
      </c>
      <c r="K17" s="61">
        <f>SUM(K15:K16)</f>
        <v>17978.301369863013</v>
      </c>
      <c r="L17" s="61">
        <f>SUM(L15:L16)</f>
        <v>33174.246575342469</v>
      </c>
    </row>
    <row r="18" spans="1:12" ht="16.5" customHeight="1" thickBot="1" x14ac:dyDescent="0.4">
      <c r="A18" s="215"/>
      <c r="B18" s="27" t="s">
        <v>20</v>
      </c>
      <c r="C18" s="24"/>
      <c r="D18" s="14"/>
      <c r="E18" s="14"/>
      <c r="F18" s="14"/>
      <c r="G18" s="14"/>
      <c r="H18" s="14">
        <f>H17*(1+$K$4)</f>
        <v>5436.2958904109591</v>
      </c>
      <c r="I18" s="14">
        <f>I17*(1+$K$4)</f>
        <v>9132.9770958904101</v>
      </c>
      <c r="J18" s="14">
        <f>J17*(1+$K$4)</f>
        <v>13699.465643835618</v>
      </c>
      <c r="K18" s="14">
        <f>K17*(1+$K$4)</f>
        <v>22832.442739726026</v>
      </c>
      <c r="L18" s="14">
        <f>L17*(1+$K$4)</f>
        <v>42131.293150684935</v>
      </c>
    </row>
    <row r="19" spans="1:12" ht="38.25" customHeight="1" thickBot="1" x14ac:dyDescent="0.4">
      <c r="A19" s="28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2"/>
    </row>
    <row r="20" spans="1:12" ht="15.75" customHeight="1" x14ac:dyDescent="0.35">
      <c r="A20" s="232" t="s">
        <v>23</v>
      </c>
      <c r="B20" s="25" t="s">
        <v>17</v>
      </c>
      <c r="C20" s="26"/>
      <c r="D20" s="7"/>
      <c r="E20" s="7"/>
      <c r="F20" s="7"/>
      <c r="G20" s="7"/>
      <c r="H20" s="7"/>
      <c r="I20" s="7"/>
      <c r="J20" s="7"/>
      <c r="K20" s="7"/>
      <c r="L20" s="8"/>
    </row>
    <row r="21" spans="1:12" ht="19" customHeight="1" thickBot="1" x14ac:dyDescent="0.35">
      <c r="A21" s="233"/>
      <c r="B21" s="20" t="s">
        <v>18</v>
      </c>
      <c r="C21" s="21"/>
      <c r="D21" s="21"/>
      <c r="E21" s="21"/>
      <c r="F21" s="11"/>
      <c r="G21" s="11"/>
      <c r="H21" s="11">
        <f>'övezetek rendelet szeint'!F28/'övezetek rendelet szeint'!$K$5/365*$G$3-'övezetek rendelet szeint'!F28/'övezetek rendelet szeint'!$K$5/365*$G$3*$I$4</f>
        <v>8561.0958904109593</v>
      </c>
      <c r="I21" s="11">
        <f>'övezetek rendelet szeint'!G28/'övezetek rendelet szeint'!$K$5/365*$G$3-'övezetek rendelet szeint'!G28/'övezetek rendelet szeint'!$K$5/365*$G$3*$I$4</f>
        <v>14382.641095890411</v>
      </c>
      <c r="J21" s="11">
        <f>'övezetek rendelet szeint'!H28/'övezetek rendelet szeint'!$K$5/365*$G$3-'övezetek rendelet szeint'!H28/'övezetek rendelet szeint'!$K$5/365*$G$3*$I$4</f>
        <v>21573.961643835617</v>
      </c>
      <c r="K21" s="11">
        <f>'övezetek rendelet szeint'!I28/'övezetek rendelet szeint'!$K$5/365*$G$3-'övezetek rendelet szeint'!I28/'övezetek rendelet szeint'!$K$5/365*$G$3*$I$4</f>
        <v>35956.602739726026</v>
      </c>
      <c r="L21" s="11">
        <f>'övezetek rendelet szeint'!J28/'övezetek rendelet szeint'!$K$5/365*$G$3-'övezetek rendelet szeint'!J28/'övezetek rendelet szeint'!$K$5/365*$G$3*$I$4</f>
        <v>66348.493150684939</v>
      </c>
    </row>
    <row r="22" spans="1:12" ht="19" customHeight="1" x14ac:dyDescent="0.35">
      <c r="A22" s="233"/>
      <c r="B22" s="56" t="s">
        <v>19</v>
      </c>
      <c r="C22" s="57"/>
      <c r="D22" s="58"/>
      <c r="E22" s="58"/>
      <c r="F22" s="58"/>
      <c r="G22" s="58"/>
      <c r="H22" s="58">
        <f>SUM(H20:H21)</f>
        <v>8561.0958904109593</v>
      </c>
      <c r="I22" s="58">
        <f>SUM(I20:I21)</f>
        <v>14382.641095890411</v>
      </c>
      <c r="J22" s="58">
        <f>SUM(J20:J21)</f>
        <v>21573.961643835617</v>
      </c>
      <c r="K22" s="58">
        <f>SUM(K20:K21)</f>
        <v>35956.602739726026</v>
      </c>
      <c r="L22" s="59">
        <f>SUM(L20:L21)</f>
        <v>66348.493150684939</v>
      </c>
    </row>
    <row r="23" spans="1:12" ht="19" customHeight="1" thickBot="1" x14ac:dyDescent="0.4">
      <c r="A23" s="234"/>
      <c r="B23" s="33" t="s">
        <v>20</v>
      </c>
      <c r="C23" s="24"/>
      <c r="D23" s="14"/>
      <c r="E23" s="14"/>
      <c r="F23" s="14"/>
      <c r="G23" s="14"/>
      <c r="H23" s="14">
        <f>H22*(1+$K$4)</f>
        <v>10872.591780821918</v>
      </c>
      <c r="I23" s="14">
        <f>I22*(1+$K$4)</f>
        <v>18265.95419178082</v>
      </c>
      <c r="J23" s="14">
        <f>J22*(1+$K$4)</f>
        <v>27398.931287671236</v>
      </c>
      <c r="K23" s="14">
        <f>K22*(1+$K$4)</f>
        <v>45664.885479452052</v>
      </c>
      <c r="L23" s="15">
        <f>L22*(1+$K$4)</f>
        <v>84262.586301369869</v>
      </c>
    </row>
    <row r="24" spans="1:12" ht="19" customHeight="1" x14ac:dyDescent="0.35">
      <c r="A24" s="224" t="s">
        <v>24</v>
      </c>
      <c r="B24" s="25" t="s">
        <v>17</v>
      </c>
      <c r="C24" s="26"/>
      <c r="D24" s="7"/>
      <c r="E24" s="7"/>
      <c r="F24" s="7"/>
      <c r="G24" s="7"/>
      <c r="H24" s="18"/>
      <c r="I24" s="7"/>
      <c r="J24" s="7"/>
      <c r="K24" s="7"/>
      <c r="L24" s="8"/>
    </row>
    <row r="25" spans="1:12" ht="19" customHeight="1" thickBot="1" x14ac:dyDescent="0.35">
      <c r="A25" s="225"/>
      <c r="B25" s="20" t="s">
        <v>18</v>
      </c>
      <c r="C25" s="21"/>
      <c r="D25" s="21"/>
      <c r="E25" s="21"/>
      <c r="F25" s="11"/>
      <c r="G25" s="11"/>
      <c r="H25" s="11">
        <f>'övezetek rendelet szeint'!F29/'övezetek rendelet szeint'!$K$5/365*$G$3-'övezetek rendelet szeint'!F29/'övezetek rendelet szeint'!$K$5/365*$G$3*$I$4</f>
        <v>11300.646575342465</v>
      </c>
      <c r="I25" s="11">
        <f>'övezetek rendelet szeint'!G29/'övezetek rendelet szeint'!$K$5/365*$G$3-'övezetek rendelet szeint'!G29/'övezetek rendelet szeint'!$K$5/365*$G$3*$I$4</f>
        <v>19176.85479452055</v>
      </c>
      <c r="J25" s="11">
        <f>'övezetek rendelet szeint'!H29/'övezetek rendelet szeint'!$K$5/365*$G$3-'övezetek rendelet szeint'!H29/'övezetek rendelet szeint'!$K$5/365*$G$3*$I$4</f>
        <v>28765.282191780821</v>
      </c>
      <c r="K25" s="11">
        <f>'övezetek rendelet szeint'!I29/'övezetek rendelet szeint'!$K$5/365*$G$3-'övezetek rendelet szeint'!I29/'övezetek rendelet szeint'!$K$5/365*$G$3*$I$4</f>
        <v>47942.136986301368</v>
      </c>
      <c r="L25" s="11">
        <f>'övezetek rendelet szeint'!J29/'övezetek rendelet szeint'!$K$5/365*$G$3-'övezetek rendelet szeint'!J29/'övezetek rendelet szeint'!$K$5/365*$G$3*$I$4</f>
        <v>88464.385753424664</v>
      </c>
    </row>
    <row r="26" spans="1:12" ht="15.5" x14ac:dyDescent="0.35">
      <c r="A26" s="225"/>
      <c r="B26" s="60" t="s">
        <v>19</v>
      </c>
      <c r="C26" s="57"/>
      <c r="D26" s="58"/>
      <c r="E26" s="58"/>
      <c r="F26" s="58"/>
      <c r="G26" s="58"/>
      <c r="H26" s="58">
        <f>SUM(H24:H25)</f>
        <v>11300.646575342465</v>
      </c>
      <c r="I26" s="58">
        <f>SUM(I24:I25)</f>
        <v>19176.85479452055</v>
      </c>
      <c r="J26" s="58">
        <f>SUM(J24:J25)</f>
        <v>28765.282191780821</v>
      </c>
      <c r="K26" s="58">
        <f>SUM(K24:K25)</f>
        <v>47942.136986301368</v>
      </c>
      <c r="L26" s="59">
        <f>SUM(L24:L25)</f>
        <v>88464.385753424664</v>
      </c>
    </row>
    <row r="27" spans="1:12" ht="15.75" customHeight="1" thickBot="1" x14ac:dyDescent="0.4">
      <c r="A27" s="226"/>
      <c r="B27" s="27" t="s">
        <v>20</v>
      </c>
      <c r="C27" s="24"/>
      <c r="D27" s="14"/>
      <c r="E27" s="14"/>
      <c r="F27" s="14"/>
      <c r="G27" s="14"/>
      <c r="H27" s="14">
        <f>H26*(1+$K$4)</f>
        <v>14351.821150684931</v>
      </c>
      <c r="I27" s="14">
        <f>I26*(1+$K$4)</f>
        <v>24354.605589041097</v>
      </c>
      <c r="J27" s="14">
        <f>J26*(1+$K$4)</f>
        <v>36531.90838356164</v>
      </c>
      <c r="K27" s="14">
        <f>K26*(1+$K$4)</f>
        <v>60886.513972602741</v>
      </c>
      <c r="L27" s="15">
        <f>L26*(1+$K$4)</f>
        <v>112349.76990684932</v>
      </c>
    </row>
    <row r="28" spans="1:12" ht="15.5" x14ac:dyDescent="0.35">
      <c r="A28" s="47"/>
      <c r="B28" s="47"/>
      <c r="C28" s="48"/>
      <c r="D28" s="49"/>
      <c r="E28" s="49"/>
      <c r="F28" s="49"/>
      <c r="G28" s="49"/>
      <c r="H28" s="49"/>
      <c r="I28" s="49"/>
      <c r="J28" s="49"/>
      <c r="K28" s="49"/>
      <c r="L28" s="49"/>
    </row>
    <row r="29" spans="1:12" ht="15.75" customHeight="1" x14ac:dyDescent="0.25">
      <c r="A29" s="227"/>
      <c r="B29" s="42"/>
      <c r="C29" s="43"/>
      <c r="D29" s="43"/>
      <c r="E29" s="43"/>
      <c r="F29" s="43"/>
      <c r="G29" s="43"/>
      <c r="H29" s="43"/>
      <c r="I29" s="43"/>
      <c r="J29" s="43"/>
      <c r="K29" s="43"/>
      <c r="L29" s="43"/>
    </row>
    <row r="30" spans="1:12" ht="15" x14ac:dyDescent="0.3">
      <c r="A30" s="227"/>
      <c r="B30" s="44"/>
      <c r="C30" s="45"/>
      <c r="D30" s="45"/>
      <c r="E30" s="45"/>
      <c r="F30" s="45"/>
      <c r="G30" s="45"/>
      <c r="H30" s="45"/>
      <c r="I30" s="45"/>
      <c r="J30" s="45"/>
      <c r="K30" s="45"/>
      <c r="L30" s="45"/>
    </row>
    <row r="31" spans="1:12" ht="15.5" x14ac:dyDescent="0.35">
      <c r="A31" s="227"/>
      <c r="B31" s="46"/>
      <c r="C31" s="39"/>
      <c r="D31" s="39"/>
      <c r="E31" s="39"/>
      <c r="F31" s="39"/>
      <c r="G31" s="39"/>
      <c r="H31" s="39"/>
      <c r="I31" s="39"/>
      <c r="J31" s="39"/>
      <c r="K31" s="39"/>
      <c r="L31" s="39"/>
    </row>
    <row r="32" spans="1:12" ht="15.5" x14ac:dyDescent="0.35">
      <c r="A32" s="227"/>
      <c r="B32" s="44"/>
      <c r="C32" s="41"/>
      <c r="D32" s="41"/>
      <c r="E32" s="41"/>
      <c r="F32" s="41"/>
      <c r="G32" s="41"/>
      <c r="H32" s="41"/>
      <c r="I32" s="41"/>
      <c r="J32" s="41"/>
      <c r="K32" s="41"/>
      <c r="L32" s="41"/>
    </row>
    <row r="33" spans="13:13" ht="12.75" customHeight="1" x14ac:dyDescent="0.25"/>
    <row r="34" spans="13:13" ht="13.75" customHeight="1" x14ac:dyDescent="0.25"/>
    <row r="37" spans="13:13" ht="15.75" customHeight="1" x14ac:dyDescent="0.25"/>
    <row r="38" spans="13:13" ht="15.75" customHeight="1" x14ac:dyDescent="0.25"/>
    <row r="39" spans="13:13" ht="15.75" customHeight="1" x14ac:dyDescent="0.25"/>
    <row r="40" spans="13:13" ht="16.5" customHeight="1" x14ac:dyDescent="0.25"/>
    <row r="41" spans="13:13" ht="15.75" customHeight="1" x14ac:dyDescent="0.25"/>
    <row r="42" spans="13:13" ht="15.75" customHeight="1" x14ac:dyDescent="0.25"/>
    <row r="43" spans="13:13" ht="15.75" customHeight="1" x14ac:dyDescent="0.25"/>
    <row r="44" spans="13:13" ht="16.5" customHeight="1" x14ac:dyDescent="0.25"/>
    <row r="45" spans="13:13" ht="15.75" customHeight="1" x14ac:dyDescent="0.25"/>
    <row r="46" spans="13:13" ht="15.75" customHeight="1" x14ac:dyDescent="0.25"/>
    <row r="47" spans="13:13" ht="15.75" customHeight="1" x14ac:dyDescent="0.35">
      <c r="M47" s="39"/>
    </row>
    <row r="48" spans="13:13" ht="16.5" customHeight="1" x14ac:dyDescent="0.25"/>
    <row r="49" ht="16.5" customHeight="1" x14ac:dyDescent="0.25"/>
    <row r="50" ht="16.5" customHeight="1" x14ac:dyDescent="0.25"/>
    <row r="51" ht="16.5" customHeight="1" x14ac:dyDescent="0.25"/>
    <row r="52" ht="15.75" customHeight="1" x14ac:dyDescent="0.25"/>
    <row r="53" ht="19" customHeight="1" x14ac:dyDescent="0.25"/>
    <row r="54" ht="19" customHeight="1" x14ac:dyDescent="0.25"/>
    <row r="55" ht="19" customHeight="1" x14ac:dyDescent="0.25"/>
    <row r="56" ht="19" customHeight="1" x14ac:dyDescent="0.25"/>
    <row r="57" ht="19" customHeight="1" x14ac:dyDescent="0.25"/>
    <row r="59" ht="15.75" customHeight="1" x14ac:dyDescent="0.25"/>
  </sheetData>
  <mergeCells count="13">
    <mergeCell ref="A24:A27"/>
    <mergeCell ref="A29:A32"/>
    <mergeCell ref="A5:K5"/>
    <mergeCell ref="A15:A18"/>
    <mergeCell ref="A20:A23"/>
    <mergeCell ref="A11:A14"/>
    <mergeCell ref="A1:K2"/>
    <mergeCell ref="B3:C3"/>
    <mergeCell ref="B4:C4"/>
    <mergeCell ref="A7:A10"/>
    <mergeCell ref="I3:J3"/>
    <mergeCell ref="I4:J4"/>
    <mergeCell ref="G3:H4"/>
  </mergeCells>
  <phoneticPr fontId="0" type="noConversion"/>
  <dataValidations count="1">
    <dataValidation type="list" allowBlank="1" showInputMessage="1" showErrorMessage="1" sqref="I4" xr:uid="{00000000-0002-0000-0000-000000000000}">
      <formula1>kedvezmeny</formula1>
    </dataValidation>
  </dataValidations>
  <pageMargins left="0.75" right="0.75" top="1" bottom="1" header="0.5" footer="0.5"/>
  <pageSetup paperSize="9" scale="78" orientation="landscape" r:id="rId1"/>
  <headerFooter alignWithMargins="0"/>
  <webPublishItems count="1">
    <webPublishItem id="14695" divId="arak_2008_14695" sourceType="sheet" destinationFile="\\Sas\parking_dokumentumok\arak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AA5D3-EE09-4E12-B5E5-211B131CAC4A}">
  <sheetPr>
    <tabColor theme="6" tint="-0.249977111117893"/>
    <pageSetUpPr fitToPage="1"/>
  </sheetPr>
  <dimension ref="A1:O90"/>
  <sheetViews>
    <sheetView zoomScale="55" zoomScaleNormal="55" workbookViewId="0">
      <pane ySplit="5" topLeftCell="A6" activePane="bottomLeft" state="frozen"/>
      <selection activeCell="K15" sqref="K15"/>
      <selection pane="bottomLeft" activeCell="G3" sqref="G3:H4"/>
    </sheetView>
  </sheetViews>
  <sheetFormatPr defaultColWidth="9.1796875" defaultRowHeight="12.5" x14ac:dyDescent="0.25"/>
  <cols>
    <col min="1" max="1" width="23.81640625" customWidth="1"/>
    <col min="2" max="2" width="24.81640625" customWidth="1"/>
    <col min="3" max="3" width="19.26953125" bestFit="1" customWidth="1"/>
    <col min="4" max="4" width="17.26953125" bestFit="1" customWidth="1"/>
    <col min="5" max="8" width="19.26953125" bestFit="1" customWidth="1"/>
    <col min="9" max="9" width="26.7265625" customWidth="1"/>
    <col min="10" max="10" width="21.26953125" bestFit="1" customWidth="1"/>
    <col min="11" max="11" width="17.26953125" bestFit="1" customWidth="1"/>
    <col min="12" max="12" width="23.26953125" bestFit="1" customWidth="1"/>
    <col min="13" max="13" width="21.81640625" customWidth="1"/>
    <col min="14" max="14" width="17.7265625" bestFit="1" customWidth="1"/>
  </cols>
  <sheetData>
    <row r="1" spans="1:15" ht="24.75" customHeight="1" thickBot="1" x14ac:dyDescent="0.3">
      <c r="B1" s="288"/>
      <c r="C1" s="288"/>
      <c r="D1" s="288"/>
      <c r="E1" s="288"/>
      <c r="F1" s="288"/>
      <c r="G1" s="288"/>
      <c r="H1" s="288"/>
      <c r="I1" s="288"/>
      <c r="J1" s="288"/>
      <c r="K1" s="288"/>
    </row>
    <row r="2" spans="1:15" ht="40.75" customHeight="1" thickBot="1" x14ac:dyDescent="0.3">
      <c r="B2" s="289" t="s">
        <v>25</v>
      </c>
      <c r="C2" s="290"/>
      <c r="D2" s="290"/>
      <c r="E2" s="290"/>
      <c r="F2" s="291"/>
      <c r="G2" s="292" t="s">
        <v>26</v>
      </c>
      <c r="H2" s="292"/>
      <c r="I2" s="184" t="s">
        <v>27</v>
      </c>
      <c r="J2" s="158" t="s">
        <v>28</v>
      </c>
      <c r="K2" s="159" t="s">
        <v>29</v>
      </c>
      <c r="L2" s="116" t="s">
        <v>30</v>
      </c>
      <c r="M2" s="202" t="s">
        <v>31</v>
      </c>
    </row>
    <row r="3" spans="1:15" ht="28.5" customHeight="1" thickTop="1" thickBot="1" x14ac:dyDescent="0.3">
      <c r="B3" s="182" t="s">
        <v>0</v>
      </c>
      <c r="C3" s="292" t="s">
        <v>1</v>
      </c>
      <c r="D3" s="292"/>
      <c r="E3" s="292"/>
      <c r="F3" s="153"/>
      <c r="G3" s="293">
        <v>1</v>
      </c>
      <c r="H3" s="294"/>
      <c r="I3" s="297">
        <v>11</v>
      </c>
      <c r="J3" s="263">
        <f>VLOOKUP(I3,euro!E1:F21,2,FALSE)</f>
        <v>0</v>
      </c>
      <c r="K3" s="299">
        <v>0.27</v>
      </c>
      <c r="L3" s="279">
        <v>600</v>
      </c>
      <c r="M3" s="262">
        <f>L3/($K$3+1)*1</f>
        <v>472.44094488188978</v>
      </c>
    </row>
    <row r="4" spans="1:15" ht="28.5" customHeight="1" thickTop="1" thickBot="1" x14ac:dyDescent="0.3">
      <c r="B4" s="183">
        <f ca="1">TODAY()</f>
        <v>45649</v>
      </c>
      <c r="C4" s="280">
        <v>44500</v>
      </c>
      <c r="D4" s="280"/>
      <c r="E4" s="280"/>
      <c r="F4" s="181">
        <f ca="1">C4-B4+1</f>
        <v>-1148</v>
      </c>
      <c r="G4" s="295"/>
      <c r="H4" s="296"/>
      <c r="I4" s="298"/>
      <c r="J4" s="263"/>
      <c r="K4" s="299"/>
      <c r="L4" s="279"/>
      <c r="M4" s="262"/>
      <c r="N4" s="157"/>
    </row>
    <row r="5" spans="1:15" ht="16.5" thickTop="1" thickBot="1" x14ac:dyDescent="0.3">
      <c r="B5" s="123" t="s">
        <v>5</v>
      </c>
      <c r="C5" s="121" t="s">
        <v>6</v>
      </c>
      <c r="D5" s="121" t="s">
        <v>32</v>
      </c>
      <c r="E5" s="121" t="s">
        <v>33</v>
      </c>
      <c r="F5" s="121" t="s">
        <v>34</v>
      </c>
      <c r="G5" s="121" t="s">
        <v>35</v>
      </c>
      <c r="H5" s="121" t="s">
        <v>36</v>
      </c>
      <c r="I5" s="121" t="s">
        <v>37</v>
      </c>
      <c r="J5" s="122" t="s">
        <v>38</v>
      </c>
      <c r="K5" s="120" t="s">
        <v>39</v>
      </c>
      <c r="L5" s="105"/>
    </row>
    <row r="6" spans="1:15" ht="15" customHeight="1" x14ac:dyDescent="0.35">
      <c r="A6" s="281" t="s">
        <v>40</v>
      </c>
      <c r="B6" s="267" t="s">
        <v>41</v>
      </c>
      <c r="C6" s="119"/>
      <c r="D6" s="119"/>
      <c r="E6" s="119"/>
      <c r="F6" s="119"/>
      <c r="G6" s="119"/>
      <c r="H6" s="119"/>
      <c r="I6" s="119"/>
      <c r="J6" s="119"/>
      <c r="K6" s="119"/>
      <c r="L6" s="106"/>
      <c r="M6" s="108"/>
    </row>
    <row r="7" spans="1:15" ht="16" thickBot="1" x14ac:dyDescent="0.4">
      <c r="A7" s="282"/>
      <c r="B7" s="268"/>
      <c r="C7" s="160">
        <f>$M$3*Szorzószámok!B2*Szorzószámok!$B$12/365*$G$3-$M$3*Szorzószámok!B2*Szorzószámok!$B$12/365*$G$3*$J$3</f>
        <v>7086.6141732283477</v>
      </c>
      <c r="D7" s="160">
        <f>$M$3*Szorzószámok!C2*Szorzószámok!$B$12/365*$G$3-$M$3*Szorzószámok!C2*Szorzószámok!$B$12/365*$G$3*$J$3</f>
        <v>7086.6141732283477</v>
      </c>
      <c r="E7" s="160">
        <f>$M$3*Szorzószámok!D2*Szorzószámok!$B$12/365*$G$3-$M$3*Szorzószámok!D2*Szorzószámok!$B$12/365*$G$3*$J$3</f>
        <v>14173.228346456695</v>
      </c>
      <c r="F7" s="160">
        <f>$M$3*Szorzószámok!E2*Szorzószámok!$B$12/365*$G$3-$M$3*Szorzószámok!E2*Szorzószámok!$B$12/365*$G$3*$J$3</f>
        <v>14173.228346456695</v>
      </c>
      <c r="G7" s="160">
        <f>$M$3*Szorzószámok!F2*Szorzószámok!$B$12/365*$G$3-$M$3*Szorzószámok!F2*Szorzószámok!$B$12/365*$G$3*$J$3</f>
        <v>21259.84251968504</v>
      </c>
      <c r="H7" s="160">
        <f>$M$3*Szorzószámok!G2*Szorzószámok!$B$12/365*$G$3-$M$3*Szorzószámok!G2*Szorzószámok!$B$12/365*$G$3*$J$3</f>
        <v>21259.84251968504</v>
      </c>
      <c r="I7" s="160">
        <f>$M$3*Szorzószámok!H2*Szorzószámok!$B$12/365*$G$3-$M$3*Szorzószámok!H2*Szorzószámok!$B$12/365*$G$3*$J$3</f>
        <v>21259.84251968504</v>
      </c>
      <c r="J7" s="160">
        <f>$M$3*Szorzószámok!I2*Szorzószámok!$B$12/365*$G$3-$M$3*Szorzószámok!I2*Szorzószámok!$B$12/365*$G$3*$J$3</f>
        <v>42519.685039370081</v>
      </c>
      <c r="K7" s="160">
        <f>$M$3*Szorzószámok!J2*Szorzószámok!$B$12/365*$G$3-$M$3*Szorzószámok!J2*Szorzószámok!$B$12/365*$G$3*$J$3</f>
        <v>7086.6141732283477</v>
      </c>
      <c r="L7" s="105"/>
    </row>
    <row r="8" spans="1:15" ht="15.75" customHeight="1" thickBot="1" x14ac:dyDescent="0.4">
      <c r="A8" s="282"/>
      <c r="B8" s="269"/>
      <c r="C8" s="161">
        <f t="shared" ref="C8:K8" si="0">IF($I$3&lt;4,"NEM ADHATÓ",(C6+C7)*($K$3+1))</f>
        <v>9000.0000000000018</v>
      </c>
      <c r="D8" s="161">
        <f t="shared" si="0"/>
        <v>9000.0000000000018</v>
      </c>
      <c r="E8" s="161">
        <f t="shared" si="0"/>
        <v>18000.000000000004</v>
      </c>
      <c r="F8" s="161">
        <f t="shared" si="0"/>
        <v>18000.000000000004</v>
      </c>
      <c r="G8" s="161">
        <f t="shared" si="0"/>
        <v>27000</v>
      </c>
      <c r="H8" s="161">
        <f t="shared" si="0"/>
        <v>27000</v>
      </c>
      <c r="I8" s="161">
        <f t="shared" si="0"/>
        <v>27000</v>
      </c>
      <c r="J8" s="161">
        <f t="shared" si="0"/>
        <v>54000</v>
      </c>
      <c r="K8" s="161">
        <f t="shared" si="0"/>
        <v>9000.0000000000018</v>
      </c>
      <c r="L8" s="105"/>
    </row>
    <row r="9" spans="1:15" ht="15.5" x14ac:dyDescent="0.35">
      <c r="A9" s="282"/>
      <c r="B9" s="270" t="s">
        <v>42</v>
      </c>
      <c r="C9" s="162"/>
      <c r="D9" s="162"/>
      <c r="E9" s="163"/>
      <c r="F9" s="163"/>
      <c r="G9" s="164"/>
      <c r="H9" s="164"/>
      <c r="I9" s="164"/>
      <c r="J9" s="164"/>
      <c r="K9" s="164"/>
      <c r="L9" s="285" t="s">
        <v>43</v>
      </c>
    </row>
    <row r="10" spans="1:15" ht="15.5" x14ac:dyDescent="0.35">
      <c r="A10" s="282"/>
      <c r="B10" s="284"/>
      <c r="C10" s="165">
        <v>0</v>
      </c>
      <c r="D10" s="165">
        <v>0</v>
      </c>
      <c r="E10" s="166"/>
      <c r="F10" s="167"/>
      <c r="G10" s="168"/>
      <c r="H10" s="167"/>
      <c r="I10" s="167"/>
      <c r="J10" s="167"/>
      <c r="K10" s="167"/>
      <c r="L10" s="286"/>
    </row>
    <row r="11" spans="1:15" ht="16" thickBot="1" x14ac:dyDescent="0.4">
      <c r="A11" s="282"/>
      <c r="B11" s="272"/>
      <c r="C11" s="161">
        <f>IF($I$3&lt;4,"NEM ADHATÓ",(C9+C10)*($K$3+1))</f>
        <v>0</v>
      </c>
      <c r="D11" s="161">
        <f>IF($I$3&lt;4,"NEM ADHATÓ",(D9+D10)*($K$3+1))</f>
        <v>0</v>
      </c>
      <c r="E11" s="169"/>
      <c r="F11" s="169"/>
      <c r="G11" s="169"/>
      <c r="H11" s="169"/>
      <c r="I11" s="169"/>
      <c r="J11" s="169"/>
      <c r="K11" s="169"/>
      <c r="L11" s="287"/>
      <c r="O11" s="34"/>
    </row>
    <row r="12" spans="1:15" ht="15" customHeight="1" x14ac:dyDescent="0.35">
      <c r="A12" s="282"/>
      <c r="B12" s="270" t="s">
        <v>44</v>
      </c>
      <c r="C12" s="162"/>
      <c r="D12" s="162"/>
      <c r="E12" s="162"/>
      <c r="F12" s="162"/>
      <c r="G12" s="162"/>
      <c r="H12" s="162"/>
      <c r="I12" s="162"/>
      <c r="J12" s="162"/>
      <c r="K12" s="162"/>
      <c r="L12" s="247" t="s">
        <v>45</v>
      </c>
    </row>
    <row r="13" spans="1:15" ht="16" thickBot="1" x14ac:dyDescent="0.4">
      <c r="A13" s="282"/>
      <c r="B13" s="271"/>
      <c r="C13" s="170">
        <f>$M$3*Szorzószámok!B2*Szorzószámok!$B$10/365*$G$3-$M$3*Szorzószámok!B2*Szorzószámok!$B$10/365*$G$3*$J$3</f>
        <v>931.93830223276893</v>
      </c>
      <c r="D13" s="170">
        <f>$M$3*Szorzószámok!C2*Szorzószámok!$B$10/365*$G$3-$M$3*Szorzószámok!C2*Szorzószámok!$B$10/365*$G$3*$J$3</f>
        <v>931.93830223276893</v>
      </c>
      <c r="E13" s="170">
        <f>$M$3*Szorzószámok!D2*Szorzószámok!$B$10/365*$G$3-$M$3*Szorzószámok!D2*Szorzószámok!$B$10/365*$G$3*$J$3</f>
        <v>1863.8766044655379</v>
      </c>
      <c r="F13" s="170">
        <f>$M$3*Szorzószámok!E2*Szorzószámok!$B$10/365*$G$3-$M$3*Szorzószámok!E2*Szorzószámok!$B$10/365*$G$3*$J$3</f>
        <v>1863.8766044655379</v>
      </c>
      <c r="G13" s="170"/>
      <c r="H13" s="170"/>
      <c r="I13" s="170"/>
      <c r="J13" s="170"/>
      <c r="K13" s="170"/>
      <c r="L13" s="248"/>
    </row>
    <row r="14" spans="1:15" ht="15.75" customHeight="1" thickBot="1" x14ac:dyDescent="0.4">
      <c r="A14" s="282"/>
      <c r="B14" s="272"/>
      <c r="C14" s="161">
        <f>IF($I$3&lt;4,"NEM ADHATÓ",(C12+C13)*($K$3+1))</f>
        <v>1183.5616438356165</v>
      </c>
      <c r="D14" s="171">
        <f>(D12+D13)*($K$3+1)</f>
        <v>1183.5616438356165</v>
      </c>
      <c r="E14" s="171">
        <f>(E12+E13)*($K$3+1)</f>
        <v>2367.1232876712329</v>
      </c>
      <c r="F14" s="171">
        <f>(F12+F13)*($K$3+1)</f>
        <v>2367.1232876712329</v>
      </c>
      <c r="G14" s="171"/>
      <c r="H14" s="171"/>
      <c r="I14" s="171"/>
      <c r="J14" s="171"/>
      <c r="K14" s="171"/>
      <c r="L14" s="249"/>
      <c r="N14" s="35"/>
    </row>
    <row r="15" spans="1:15" ht="15.5" x14ac:dyDescent="0.35">
      <c r="A15" s="282"/>
      <c r="B15" s="270" t="s">
        <v>46</v>
      </c>
      <c r="C15" s="162"/>
      <c r="D15" s="162"/>
      <c r="E15" s="162"/>
      <c r="F15" s="162"/>
      <c r="G15" s="162"/>
      <c r="H15" s="162"/>
      <c r="I15" s="162"/>
      <c r="J15" s="162"/>
      <c r="K15" s="162"/>
      <c r="L15" s="247" t="s">
        <v>47</v>
      </c>
    </row>
    <row r="16" spans="1:15" ht="16" thickBot="1" x14ac:dyDescent="0.4">
      <c r="A16" s="282"/>
      <c r="B16" s="271"/>
      <c r="C16" s="170">
        <f>$M$3*Szorzószámok!B$2*Szorzószámok!$B$10/365*$G$3-$M$3*Szorzószámok!B$2*Szorzószámok!$B$10/365*$G$3*$J$3</f>
        <v>931.93830223276893</v>
      </c>
      <c r="D16" s="170">
        <f>$M$3*Szorzószámok!C$2*Szorzószámok!$B$10/365*$G$3-$M$3*Szorzószámok!C$2*Szorzószámok!$B$10/365*$G$3*$J$3</f>
        <v>931.93830223276893</v>
      </c>
      <c r="E16" s="170">
        <f>$M$3*Szorzószámok!D$2*Szorzószámok!$B$10/365*$G$3-$M$3*Szorzószámok!D$2*Szorzószámok!$B$10/365*$G$3*$J$3</f>
        <v>1863.8766044655379</v>
      </c>
      <c r="F16" s="170">
        <f>$M$3*Szorzószámok!E$2*Szorzószámok!$B$10/365*$G$3-$M$3*Szorzószámok!E$2*Szorzószámok!$B$10/365*$G$3*$J$3</f>
        <v>1863.8766044655379</v>
      </c>
      <c r="G16" s="170"/>
      <c r="H16" s="170"/>
      <c r="I16" s="170"/>
      <c r="J16" s="170"/>
      <c r="K16" s="170"/>
      <c r="L16" s="248"/>
    </row>
    <row r="17" spans="1:15" ht="16" thickBot="1" x14ac:dyDescent="0.4">
      <c r="A17" s="282"/>
      <c r="B17" s="272"/>
      <c r="C17" s="161">
        <f>IF($I$3&lt;4,"NEM ADHATÓ",(C15+C16)*($K$3+1))</f>
        <v>1183.5616438356165</v>
      </c>
      <c r="D17" s="161">
        <f t="shared" ref="D17:F17" si="1">IF($I$3&lt;4,"NEM ADHATÓ",(D15+D16)*($K$3+1))</f>
        <v>1183.5616438356165</v>
      </c>
      <c r="E17" s="161">
        <f t="shared" si="1"/>
        <v>2367.1232876712329</v>
      </c>
      <c r="F17" s="161">
        <f t="shared" si="1"/>
        <v>2367.1232876712329</v>
      </c>
      <c r="G17" s="171"/>
      <c r="H17" s="171"/>
      <c r="I17" s="171"/>
      <c r="J17" s="171"/>
      <c r="K17" s="171"/>
      <c r="L17" s="249"/>
    </row>
    <row r="18" spans="1:15" ht="15" customHeight="1" x14ac:dyDescent="0.35">
      <c r="A18" s="282"/>
      <c r="B18" s="270" t="s">
        <v>48</v>
      </c>
      <c r="C18" s="162"/>
      <c r="D18" s="162"/>
      <c r="E18" s="162"/>
      <c r="F18" s="162"/>
      <c r="G18" s="162"/>
      <c r="H18" s="162"/>
      <c r="I18" s="162"/>
      <c r="J18" s="162"/>
      <c r="K18" s="162"/>
      <c r="L18" s="247" t="s">
        <v>49</v>
      </c>
    </row>
    <row r="19" spans="1:15" ht="16" thickBot="1" x14ac:dyDescent="0.4">
      <c r="A19" s="282"/>
      <c r="B19" s="271"/>
      <c r="C19" s="170">
        <f>$M$3*Szorzószámok!B$2*Szorzószámok!$B$11/365*$G$3-$M$3*Szorzószámok!B$2*Szorzószámok!$B$11/365*$G$3*$J$3</f>
        <v>1118.3259626793226</v>
      </c>
      <c r="D19" s="170">
        <f>$M$3*Szorzószámok!C$2*Szorzószámok!$B$11/365*$G$3-$M$3*Szorzószámok!C$2*Szorzószámok!$B$11/365*$G$3*$J$3</f>
        <v>1118.3259626793226</v>
      </c>
      <c r="E19" s="170">
        <f>$M$3*Szorzószámok!D$2*Szorzószámok!$B$11/365*$G$3-$M$3*Szorzószámok!D$2*Szorzószámok!$B$11/365*$G$3*$J$3</f>
        <v>2236.6519253586453</v>
      </c>
      <c r="F19" s="170">
        <f>$M$3*Szorzószámok!E$2*Szorzószámok!$B$11/365*$G$3-$M$3*Szorzószámok!E$2*Szorzószámok!$B$11/365*$G$3*$J$3</f>
        <v>2236.6519253586453</v>
      </c>
      <c r="G19" s="170"/>
      <c r="H19" s="170"/>
      <c r="I19" s="170"/>
      <c r="J19" s="170"/>
      <c r="K19" s="170"/>
      <c r="L19" s="248"/>
    </row>
    <row r="20" spans="1:15" ht="15.75" customHeight="1" thickBot="1" x14ac:dyDescent="0.4">
      <c r="A20" s="283"/>
      <c r="B20" s="272"/>
      <c r="C20" s="161">
        <f>IF($I$3&lt;4,"NEM ADHATÓ",(C18+C19)*($K$3+1))</f>
        <v>1420.2739726027398</v>
      </c>
      <c r="D20" s="161">
        <f t="shared" ref="D20:F20" si="2">IF($I$3&lt;4,"NEM ADHATÓ",(D18+D19)*($K$3+1))</f>
        <v>1420.2739726027398</v>
      </c>
      <c r="E20" s="161">
        <f t="shared" si="2"/>
        <v>2840.5479452054797</v>
      </c>
      <c r="F20" s="161">
        <f t="shared" si="2"/>
        <v>2840.5479452054797</v>
      </c>
      <c r="G20" s="171"/>
      <c r="H20" s="171"/>
      <c r="I20" s="171"/>
      <c r="J20" s="171"/>
      <c r="K20" s="161"/>
      <c r="L20" s="249"/>
    </row>
    <row r="21" spans="1:15" ht="13" thickBot="1" x14ac:dyDescent="0.3">
      <c r="A21" s="124"/>
      <c r="B21" s="125"/>
      <c r="C21" s="172"/>
      <c r="D21" s="172"/>
      <c r="E21" s="172"/>
      <c r="F21" s="172"/>
      <c r="G21" s="172"/>
      <c r="H21" s="172"/>
      <c r="I21" s="172"/>
      <c r="J21" s="172"/>
      <c r="K21" s="172"/>
      <c r="L21" s="125"/>
    </row>
    <row r="22" spans="1:15" ht="15" customHeight="1" x14ac:dyDescent="0.35">
      <c r="A22" s="235" t="s">
        <v>50</v>
      </c>
      <c r="B22" s="238" t="s">
        <v>41</v>
      </c>
      <c r="C22" s="162"/>
      <c r="D22" s="162"/>
      <c r="E22" s="162"/>
      <c r="F22" s="162"/>
      <c r="G22" s="162"/>
      <c r="H22" s="162"/>
      <c r="I22" s="162"/>
      <c r="J22" s="162"/>
      <c r="K22" s="162"/>
      <c r="L22" s="107"/>
    </row>
    <row r="23" spans="1:15" ht="16" thickBot="1" x14ac:dyDescent="0.4">
      <c r="A23" s="236"/>
      <c r="B23" s="239"/>
      <c r="C23" s="173">
        <f>C7</f>
        <v>7086.6141732283477</v>
      </c>
      <c r="D23" s="173">
        <f t="shared" ref="D23:K23" si="3">D7</f>
        <v>7086.6141732283477</v>
      </c>
      <c r="E23" s="173">
        <f t="shared" si="3"/>
        <v>14173.228346456695</v>
      </c>
      <c r="F23" s="173">
        <f t="shared" si="3"/>
        <v>14173.228346456695</v>
      </c>
      <c r="G23" s="173">
        <f t="shared" si="3"/>
        <v>21259.84251968504</v>
      </c>
      <c r="H23" s="173">
        <f t="shared" si="3"/>
        <v>21259.84251968504</v>
      </c>
      <c r="I23" s="173">
        <f t="shared" si="3"/>
        <v>21259.84251968504</v>
      </c>
      <c r="J23" s="173">
        <f t="shared" si="3"/>
        <v>42519.685039370081</v>
      </c>
      <c r="K23" s="173">
        <f t="shared" si="3"/>
        <v>7086.6141732283477</v>
      </c>
      <c r="L23" s="105"/>
    </row>
    <row r="24" spans="1:15" ht="15.75" customHeight="1" thickBot="1" x14ac:dyDescent="0.4">
      <c r="A24" s="236"/>
      <c r="B24" s="240"/>
      <c r="C24" s="161">
        <f>IF($I$3&lt;4,"NEM ADHATÓ",(C22+C23)*($K$3+1))</f>
        <v>9000.0000000000018</v>
      </c>
      <c r="D24" s="161">
        <f t="shared" ref="D24:K24" si="4">IF($I$3&lt;4,"NEM ADHATÓ",(D22+D23)*($K$3+1))</f>
        <v>9000.0000000000018</v>
      </c>
      <c r="E24" s="161">
        <f t="shared" si="4"/>
        <v>18000.000000000004</v>
      </c>
      <c r="F24" s="161">
        <f t="shared" si="4"/>
        <v>18000.000000000004</v>
      </c>
      <c r="G24" s="161">
        <f t="shared" si="4"/>
        <v>27000</v>
      </c>
      <c r="H24" s="161">
        <f t="shared" si="4"/>
        <v>27000</v>
      </c>
      <c r="I24" s="161">
        <f t="shared" si="4"/>
        <v>27000</v>
      </c>
      <c r="J24" s="161">
        <f t="shared" si="4"/>
        <v>54000</v>
      </c>
      <c r="K24" s="161">
        <f t="shared" si="4"/>
        <v>9000.0000000000018</v>
      </c>
      <c r="L24" s="105"/>
    </row>
    <row r="25" spans="1:15" ht="15.5" x14ac:dyDescent="0.35">
      <c r="A25" s="236"/>
      <c r="B25" s="241" t="s">
        <v>42</v>
      </c>
      <c r="C25" s="162"/>
      <c r="D25" s="162"/>
      <c r="E25" s="174"/>
      <c r="F25" s="174"/>
      <c r="G25" s="174"/>
      <c r="H25" s="174"/>
      <c r="I25" s="174"/>
      <c r="J25" s="174"/>
      <c r="K25" s="174"/>
      <c r="L25" s="244" t="s">
        <v>43</v>
      </c>
    </row>
    <row r="26" spans="1:15" ht="16" thickBot="1" x14ac:dyDescent="0.4">
      <c r="A26" s="236"/>
      <c r="B26" s="242"/>
      <c r="C26" s="173">
        <v>0</v>
      </c>
      <c r="D26" s="170">
        <v>0</v>
      </c>
      <c r="E26" s="173"/>
      <c r="F26" s="173"/>
      <c r="G26" s="173"/>
      <c r="H26" s="173"/>
      <c r="I26" s="173"/>
      <c r="J26" s="173"/>
      <c r="K26" s="173"/>
      <c r="L26" s="245"/>
    </row>
    <row r="27" spans="1:15" ht="16" thickBot="1" x14ac:dyDescent="0.4">
      <c r="A27" s="236"/>
      <c r="B27" s="243"/>
      <c r="C27" s="161">
        <f>IF($I$3&lt;4,"NEM ADHATÓ",(C25+C26)*($K$3+1))</f>
        <v>0</v>
      </c>
      <c r="D27" s="161">
        <f>IF($I$3&lt;4,"NEM ADHATÓ",(D25+D26)*($K$3+1))</f>
        <v>0</v>
      </c>
      <c r="E27" s="175"/>
      <c r="F27" s="175"/>
      <c r="G27" s="175"/>
      <c r="H27" s="175"/>
      <c r="I27" s="175"/>
      <c r="J27" s="175"/>
      <c r="K27" s="175"/>
      <c r="L27" s="246"/>
      <c r="O27" s="34"/>
    </row>
    <row r="28" spans="1:15" ht="15" customHeight="1" x14ac:dyDescent="0.35">
      <c r="A28" s="236"/>
      <c r="B28" s="241" t="s">
        <v>44</v>
      </c>
      <c r="C28" s="162"/>
      <c r="D28" s="162"/>
      <c r="E28" s="162"/>
      <c r="F28" s="162"/>
      <c r="G28" s="162"/>
      <c r="H28" s="162"/>
      <c r="I28" s="162"/>
      <c r="J28" s="162"/>
      <c r="K28" s="162"/>
      <c r="L28" s="247" t="s">
        <v>45</v>
      </c>
    </row>
    <row r="29" spans="1:15" ht="16" thickBot="1" x14ac:dyDescent="0.4">
      <c r="A29" s="236"/>
      <c r="B29" s="242"/>
      <c r="C29" s="173">
        <f>$M$3*Szorzószámok!B$2*Szorzószámok!$B$10/365*$G$3-$M$3*Szorzószámok!B$2*Szorzószámok!$B$10/365*$G$3*$J$3</f>
        <v>931.93830223276893</v>
      </c>
      <c r="D29" s="173">
        <f>$M$3*Szorzószámok!C$2*Szorzószámok!$B$10/365*$G$3-$M$3*Szorzószámok!C$2*Szorzószámok!$B$10/365*$G$3*$J$3</f>
        <v>931.93830223276893</v>
      </c>
      <c r="E29" s="173">
        <f>$M$3*Szorzószámok!D$2*Szorzószámok!$B$10/365*$G$3-$M$3*Szorzószámok!D$2*Szorzószámok!$B$10/365*$G$3*$J$3</f>
        <v>1863.8766044655379</v>
      </c>
      <c r="F29" s="173">
        <f>$M$3*Szorzószámok!E$2*Szorzószámok!$B$10/365*$G$3-$M$3*Szorzószámok!E$2*Szorzószámok!$B$10/365*$G$3*$J$3</f>
        <v>1863.8766044655379</v>
      </c>
      <c r="G29" s="173">
        <f>$M$3*Szorzószámok!F$2*Szorzószámok!$B$10/365*$G$3-$M$3*Szorzószámok!F$2*Szorzószámok!$B$10/365*$G$3*$J$3</f>
        <v>2795.8149066983065</v>
      </c>
      <c r="H29" s="173">
        <f>$M$3*Szorzószámok!G$2*Szorzószámok!$B$10/365*$G$3-$M$3*Szorzószámok!G$2*Szorzószámok!$B$10/365*$G$3*$J$3</f>
        <v>2795.8149066983065</v>
      </c>
      <c r="I29" s="173">
        <f>$M$3*Szorzószámok!H$2*Szorzószámok!$B$10/365*$G$3-$M$3*Szorzószámok!H$2*Szorzószámok!$B$10/365*$G$3*$J$3</f>
        <v>2795.8149066983065</v>
      </c>
      <c r="J29" s="173">
        <f>$M$3*Szorzószámok!I$2*Szorzószámok!$B$10/365*$G$3-$M$3*Szorzószámok!I$2*Szorzószámok!$B$10/365*$G$3*$J$3</f>
        <v>5591.6298133966129</v>
      </c>
      <c r="K29" s="173"/>
      <c r="L29" s="248"/>
    </row>
    <row r="30" spans="1:15" ht="15.75" customHeight="1" thickBot="1" x14ac:dyDescent="0.4">
      <c r="A30" s="236"/>
      <c r="B30" s="243"/>
      <c r="C30" s="161">
        <f>IF($I$3&lt;4,"NEM ADHATÓ",(C28+C29)*($K$3+1))</f>
        <v>1183.5616438356165</v>
      </c>
      <c r="D30" s="161">
        <f t="shared" ref="D30:J30" si="5">IF($I$3&lt;4,"NEM ADHATÓ",(D28+D29)*($K$3+1))</f>
        <v>1183.5616438356165</v>
      </c>
      <c r="E30" s="161">
        <f t="shared" si="5"/>
        <v>2367.1232876712329</v>
      </c>
      <c r="F30" s="161">
        <f t="shared" si="5"/>
        <v>2367.1232876712329</v>
      </c>
      <c r="G30" s="161">
        <f t="shared" si="5"/>
        <v>3550.6849315068494</v>
      </c>
      <c r="H30" s="161">
        <f t="shared" si="5"/>
        <v>3550.6849315068494</v>
      </c>
      <c r="I30" s="161">
        <f t="shared" si="5"/>
        <v>3550.6849315068494</v>
      </c>
      <c r="J30" s="161">
        <f t="shared" si="5"/>
        <v>7101.3698630136987</v>
      </c>
      <c r="K30" s="161"/>
      <c r="L30" s="249"/>
      <c r="N30" s="35"/>
    </row>
    <row r="31" spans="1:15" ht="15.5" x14ac:dyDescent="0.35">
      <c r="A31" s="236"/>
      <c r="B31" s="241" t="s">
        <v>46</v>
      </c>
      <c r="C31" s="162"/>
      <c r="D31" s="162"/>
      <c r="E31" s="162"/>
      <c r="F31" s="162"/>
      <c r="G31" s="162"/>
      <c r="H31" s="162"/>
      <c r="I31" s="162"/>
      <c r="J31" s="162"/>
      <c r="K31" s="162"/>
      <c r="L31" s="250" t="s">
        <v>47</v>
      </c>
    </row>
    <row r="32" spans="1:15" ht="16" thickBot="1" x14ac:dyDescent="0.4">
      <c r="A32" s="236"/>
      <c r="B32" s="242"/>
      <c r="C32" s="173">
        <f>$M$3*Szorzószámok!B$2*Szorzószámok!$B$10/365*$G$3-$M$3*Szorzószámok!B$2*Szorzószámok!$B$10/365*$G$3*$J$3</f>
        <v>931.93830223276893</v>
      </c>
      <c r="D32" s="173">
        <f>$M$3*Szorzószámok!C$2*Szorzószámok!$B$10/365*$G$3-$M$3*Szorzószámok!C$2*Szorzószámok!$B$10/365*$G$3*$J$3</f>
        <v>931.93830223276893</v>
      </c>
      <c r="E32" s="173">
        <f>$M$3*Szorzószámok!D$2*Szorzószámok!$B$10/365*$G$3-$M$3*Szorzószámok!D$2*Szorzószámok!$B$10/365*$G$3*$J$3</f>
        <v>1863.8766044655379</v>
      </c>
      <c r="F32" s="173">
        <f>$M$3*Szorzószámok!E$2*Szorzószámok!$B$10/365*$G$3-$M$3*Szorzószámok!E$2*Szorzószámok!$B$10/365*$G$3*$J$3</f>
        <v>1863.8766044655379</v>
      </c>
      <c r="G32" s="173">
        <f>$M$3*Szorzószámok!F$2*Szorzószámok!$B$10/365*$G$3-$M$3*Szorzószámok!F$2*Szorzószámok!$B$10/365*$G$3*$J$3</f>
        <v>2795.8149066983065</v>
      </c>
      <c r="H32" s="173">
        <f>$M$3*Szorzószámok!G$2*Szorzószámok!$B$10/365*$G$3-$M$3*Szorzószámok!G$2*Szorzószámok!$B$10/365*$G$3*$J$3</f>
        <v>2795.8149066983065</v>
      </c>
      <c r="I32" s="173">
        <f>$M$3*Szorzószámok!H$2*Szorzószámok!$B$10/365*$G$3-$M$3*Szorzószámok!H$2*Szorzószámok!$B$10/365*$G$3*$J$3</f>
        <v>2795.8149066983065</v>
      </c>
      <c r="J32" s="173">
        <f>$M$3*Szorzószámok!I$2*Szorzószámok!$B$10/365*$G$3-$M$3*Szorzószámok!I$2*Szorzószámok!$B$10/365*$G$3*$J$3</f>
        <v>5591.6298133966129</v>
      </c>
      <c r="K32" s="173"/>
      <c r="L32" s="251"/>
    </row>
    <row r="33" spans="1:15" ht="16" thickBot="1" x14ac:dyDescent="0.4">
      <c r="A33" s="236"/>
      <c r="B33" s="243"/>
      <c r="C33" s="161">
        <f>IF($I$3&lt;4,"NEM ADHATÓ",(C31+C32)*($K$3+1))</f>
        <v>1183.5616438356165</v>
      </c>
      <c r="D33" s="161">
        <f t="shared" ref="D33:J33" si="6">IF($I$3&lt;4,"NEM ADHATÓ",(D31+D32)*($K$3+1))</f>
        <v>1183.5616438356165</v>
      </c>
      <c r="E33" s="161">
        <f t="shared" si="6"/>
        <v>2367.1232876712329</v>
      </c>
      <c r="F33" s="161">
        <f t="shared" si="6"/>
        <v>2367.1232876712329</v>
      </c>
      <c r="G33" s="161">
        <f t="shared" si="6"/>
        <v>3550.6849315068494</v>
      </c>
      <c r="H33" s="161">
        <f t="shared" si="6"/>
        <v>3550.6849315068494</v>
      </c>
      <c r="I33" s="161">
        <f t="shared" si="6"/>
        <v>3550.6849315068494</v>
      </c>
      <c r="J33" s="161">
        <f t="shared" si="6"/>
        <v>7101.3698630136987</v>
      </c>
      <c r="K33" s="161"/>
      <c r="L33" s="252"/>
    </row>
    <row r="34" spans="1:15" ht="15" customHeight="1" x14ac:dyDescent="0.35">
      <c r="A34" s="236"/>
      <c r="B34" s="241" t="s">
        <v>48</v>
      </c>
      <c r="C34" s="162"/>
      <c r="D34" s="162"/>
      <c r="E34" s="162"/>
      <c r="F34" s="162"/>
      <c r="G34" s="162"/>
      <c r="H34" s="162"/>
      <c r="I34" s="162"/>
      <c r="J34" s="162"/>
      <c r="K34" s="162"/>
      <c r="L34" s="250" t="s">
        <v>49</v>
      </c>
    </row>
    <row r="35" spans="1:15" ht="16" thickBot="1" x14ac:dyDescent="0.4">
      <c r="A35" s="236"/>
      <c r="B35" s="242"/>
      <c r="C35" s="173">
        <f>$M$3*Szorzószámok!B$2*Szorzószámok!$B$11/365*$G$3-$M$3*Szorzószámok!B$2*Szorzószámok!$B$11/365*$G$3*$J$3</f>
        <v>1118.3259626793226</v>
      </c>
      <c r="D35" s="173">
        <f>$M$3*Szorzószámok!C$2*Szorzószámok!$B$11/365*$G$3-$M$3*Szorzószámok!C$2*Szorzószámok!$B$11/365*$G$3*$J$3</f>
        <v>1118.3259626793226</v>
      </c>
      <c r="E35" s="173">
        <f>$M$3*Szorzószámok!D$2*Szorzószámok!$B$11/365*$G$3-$M$3*Szorzószámok!D$2*Szorzószámok!$B$11/365*$G$3*$J$3</f>
        <v>2236.6519253586453</v>
      </c>
      <c r="F35" s="173">
        <f>$M$3*Szorzószámok!E$2*Szorzószámok!$B$11/365*$G$3-$M$3*Szorzószámok!E$2*Szorzószámok!$B$11/365*$G$3*$J$3</f>
        <v>2236.6519253586453</v>
      </c>
      <c r="G35" s="173">
        <f>$M$3*Szorzószámok!F$2*Szorzószámok!$B$11/365*$G$3-$M$3*Szorzószámok!F$2*Szorzószámok!$B$11/365*$G$3*$J$3</f>
        <v>3354.9778880379681</v>
      </c>
      <c r="H35" s="173">
        <f>$M$3*Szorzószámok!G$2*Szorzószámok!$B$11/365*$G$3-$M$3*Szorzószámok!G$2*Szorzószámok!$B$11/365*$G$3*$J$3</f>
        <v>3354.9778880379681</v>
      </c>
      <c r="I35" s="173">
        <f>$M$3*Szorzószámok!H$2*Szorzószámok!$B$11/365*$G$3-$M$3*Szorzószámok!H$2*Szorzószámok!$B$11/365*$G$3*$J$3</f>
        <v>3354.9778880379681</v>
      </c>
      <c r="J35" s="173">
        <f>$M$3*Szorzószámok!I$2*Szorzószámok!$B$11/365*$G$3-$M$3*Szorzószámok!I$2*Szorzószámok!$B$11/365*$G$3*$J$3</f>
        <v>6709.9557760759362</v>
      </c>
      <c r="K35" s="173"/>
      <c r="L35" s="251"/>
    </row>
    <row r="36" spans="1:15" ht="15.75" customHeight="1" thickBot="1" x14ac:dyDescent="0.4">
      <c r="A36" s="237"/>
      <c r="B36" s="243"/>
      <c r="C36" s="161">
        <f>IF($I$3&lt;4,"NEM ADHATÓ",(C34+C35)*($K$3+1))</f>
        <v>1420.2739726027398</v>
      </c>
      <c r="D36" s="161">
        <f t="shared" ref="D36:J36" si="7">IF($I$3&lt;4,"NEM ADHATÓ",(D34+D35)*($K$3+1))</f>
        <v>1420.2739726027398</v>
      </c>
      <c r="E36" s="161">
        <f t="shared" si="7"/>
        <v>2840.5479452054797</v>
      </c>
      <c r="F36" s="161">
        <f t="shared" si="7"/>
        <v>2840.5479452054797</v>
      </c>
      <c r="G36" s="161">
        <f t="shared" si="7"/>
        <v>4260.82191780822</v>
      </c>
      <c r="H36" s="161">
        <f t="shared" si="7"/>
        <v>4260.82191780822</v>
      </c>
      <c r="I36" s="161">
        <f t="shared" si="7"/>
        <v>4260.82191780822</v>
      </c>
      <c r="J36" s="161">
        <f t="shared" si="7"/>
        <v>8521.6438356164399</v>
      </c>
      <c r="K36" s="161"/>
      <c r="L36" s="252"/>
    </row>
    <row r="37" spans="1:15" ht="13" thickBot="1" x14ac:dyDescent="0.3">
      <c r="A37" s="124"/>
      <c r="B37" s="125"/>
      <c r="C37" s="172"/>
      <c r="D37" s="172"/>
      <c r="E37" s="172"/>
      <c r="F37" s="172"/>
      <c r="G37" s="172"/>
      <c r="H37" s="172"/>
      <c r="I37" s="172"/>
      <c r="J37" s="172"/>
      <c r="K37" s="172"/>
      <c r="L37" s="125"/>
    </row>
    <row r="38" spans="1:15" ht="15.5" x14ac:dyDescent="0.35">
      <c r="A38" s="235" t="s">
        <v>51</v>
      </c>
      <c r="B38" s="238" t="s">
        <v>41</v>
      </c>
      <c r="C38" s="162"/>
      <c r="D38" s="162"/>
      <c r="E38" s="162"/>
      <c r="F38" s="162"/>
      <c r="G38" s="162"/>
      <c r="H38" s="162"/>
      <c r="I38" s="162"/>
      <c r="J38" s="162"/>
      <c r="K38" s="162"/>
      <c r="L38" s="107"/>
    </row>
    <row r="39" spans="1:15" ht="16" thickBot="1" x14ac:dyDescent="0.4">
      <c r="A39" s="236"/>
      <c r="B39" s="239"/>
      <c r="C39" s="173">
        <f>$M$3*Szorzószámok!B$3*Szorzószámok!$B$12/365*$G$3-$M$3*Szorzószámok!B$3*Szorzószámok!$B$12/365*$G$3*$J$3</f>
        <v>5905.5118110236217</v>
      </c>
      <c r="D39" s="173">
        <f>$M$3*Szorzószámok!C$3*Szorzószámok!$B$12/365*$G$3-$M$3*Szorzószámok!C$3*Szorzószámok!$B$12/365*$G$3*$J$3</f>
        <v>5905.5118110236217</v>
      </c>
      <c r="E39" s="173">
        <f>$M$3*Szorzószámok!D$3*Szorzószámok!$B$12/365*$G$3-$M$3*Szorzószámok!D$3*Szorzószámok!$B$12/365*$G$3*$J$3</f>
        <v>11811.023622047243</v>
      </c>
      <c r="F39" s="173">
        <f>$M$3*Szorzószámok!E$3*Szorzószámok!$B$12/365*$G$3-$M$3*Szorzószámok!E$3*Szorzószámok!$B$12/365*$G$3*$J$3</f>
        <v>11811.023622047243</v>
      </c>
      <c r="G39" s="173">
        <f>$M$3*Szorzószámok!F$3*Szorzószámok!$B$12/365*$G$3-$M$3*Szorzószámok!F$3*Szorzószámok!$B$12/365*$G$3*$J$3</f>
        <v>17716.535433070865</v>
      </c>
      <c r="H39" s="173">
        <f>$M$3*Szorzószámok!G$3*Szorzószámok!$B$12/365*$G$3-$M$3*Szorzószámok!G$3*Szorzószámok!$B$12/365*$G$3*$J$3</f>
        <v>17716.535433070865</v>
      </c>
      <c r="I39" s="173">
        <f>$M$3*Szorzószámok!H$3*Szorzószámok!$B$12/365*$G$3-$M$3*Szorzószámok!H$3*Szorzószámok!$B$12/365*$G$3*$J$3</f>
        <v>17716.535433070865</v>
      </c>
      <c r="J39" s="173">
        <f>$M$3*Szorzószámok!I$3*Szorzószámok!$B$12/365*$G$3-$M$3*Szorzószámok!I$3*Szorzószámok!$B$12/365*$G$3*$J$3</f>
        <v>35433.07086614173</v>
      </c>
      <c r="K39" s="173">
        <f>$M$3*Szorzószámok!J$3*Szorzószámok!$B$12/365*$G$3-$M$3*Szorzószámok!J$3*Szorzószámok!$B$12/365*$G$3*$J$3</f>
        <v>5905.5118110236217</v>
      </c>
      <c r="L39" s="105"/>
    </row>
    <row r="40" spans="1:15" ht="16" thickBot="1" x14ac:dyDescent="0.4">
      <c r="A40" s="236"/>
      <c r="B40" s="240"/>
      <c r="C40" s="161">
        <f>IF($I$3&lt;4,"NEM ADHATÓ",(C38+C39)*($K$3+1))</f>
        <v>7500</v>
      </c>
      <c r="D40" s="161">
        <f t="shared" ref="D40:K40" si="8">IF($I$3&lt;4,"NEM ADHATÓ",(D38+D39)*($K$3+1))</f>
        <v>7500</v>
      </c>
      <c r="E40" s="161">
        <f t="shared" si="8"/>
        <v>15000</v>
      </c>
      <c r="F40" s="161">
        <f t="shared" si="8"/>
        <v>15000</v>
      </c>
      <c r="G40" s="161">
        <f t="shared" si="8"/>
        <v>22500</v>
      </c>
      <c r="H40" s="161">
        <f t="shared" si="8"/>
        <v>22500</v>
      </c>
      <c r="I40" s="161">
        <f t="shared" si="8"/>
        <v>22500</v>
      </c>
      <c r="J40" s="161">
        <f t="shared" si="8"/>
        <v>45000</v>
      </c>
      <c r="K40" s="161">
        <f t="shared" si="8"/>
        <v>7500</v>
      </c>
      <c r="L40" s="105"/>
    </row>
    <row r="41" spans="1:15" ht="15.5" x14ac:dyDescent="0.35">
      <c r="A41" s="236"/>
      <c r="B41" s="241" t="s">
        <v>42</v>
      </c>
      <c r="C41" s="162"/>
      <c r="D41" s="162"/>
      <c r="E41" s="174"/>
      <c r="F41" s="174"/>
      <c r="G41" s="174"/>
      <c r="H41" s="174"/>
      <c r="I41" s="174"/>
      <c r="J41" s="174"/>
      <c r="K41" s="174"/>
      <c r="L41" s="244" t="s">
        <v>43</v>
      </c>
    </row>
    <row r="42" spans="1:15" ht="16" thickBot="1" x14ac:dyDescent="0.4">
      <c r="A42" s="236"/>
      <c r="B42" s="242"/>
      <c r="C42" s="173">
        <v>0</v>
      </c>
      <c r="D42" s="170">
        <v>0</v>
      </c>
      <c r="E42" s="173"/>
      <c r="F42" s="173"/>
      <c r="G42" s="173"/>
      <c r="H42" s="173"/>
      <c r="I42" s="173"/>
      <c r="J42" s="173"/>
      <c r="K42" s="173"/>
      <c r="L42" s="245"/>
    </row>
    <row r="43" spans="1:15" ht="16" thickBot="1" x14ac:dyDescent="0.4">
      <c r="A43" s="236"/>
      <c r="B43" s="243"/>
      <c r="C43" s="161">
        <f>IF($I$3&lt;4,"NEM ADHATÓ",(C41+C42)*($K$3+1))</f>
        <v>0</v>
      </c>
      <c r="D43" s="161">
        <f>IF($I$3&lt;4,"NEM ADHATÓ",(D41+D42)*($K$3+1))</f>
        <v>0</v>
      </c>
      <c r="E43" s="175"/>
      <c r="F43" s="175"/>
      <c r="G43" s="175"/>
      <c r="H43" s="175"/>
      <c r="I43" s="175"/>
      <c r="J43" s="175"/>
      <c r="K43" s="175"/>
      <c r="L43" s="246"/>
      <c r="O43" s="34"/>
    </row>
    <row r="44" spans="1:15" ht="15" customHeight="1" x14ac:dyDescent="0.35">
      <c r="A44" s="236"/>
      <c r="B44" s="241" t="s">
        <v>44</v>
      </c>
      <c r="C44" s="162"/>
      <c r="D44" s="162"/>
      <c r="E44" s="162"/>
      <c r="F44" s="162"/>
      <c r="G44" s="162"/>
      <c r="H44" s="162"/>
      <c r="I44" s="162"/>
      <c r="J44" s="162"/>
      <c r="K44" s="162"/>
      <c r="L44" s="247" t="s">
        <v>45</v>
      </c>
    </row>
    <row r="45" spans="1:15" ht="16" thickBot="1" x14ac:dyDescent="0.4">
      <c r="A45" s="236"/>
      <c r="B45" s="242"/>
      <c r="C45" s="173">
        <f>$M$3*Szorzószámok!B$3*Szorzószámok!$B$10/365*$G$3-$M$3*Szorzószámok!B$3*Szorzószámok!$B$10/365*$G$3*$J$3</f>
        <v>776.61525186064068</v>
      </c>
      <c r="D45" s="173">
        <f>$M$3*Szorzószámok!C$3*Szorzószámok!$B$10/365*$G$3-$M$3*Szorzószámok!C$3*Szorzószámok!$B$10/365*$G$3*$J$3</f>
        <v>776.61525186064068</v>
      </c>
      <c r="E45" s="173">
        <f>$M$3*Szorzószámok!D$3*Szorzószámok!$B$10/365*$G$3-$M$3*Szorzószámok!D$3*Szorzószámok!$B$10/365*$G$3*$J$3</f>
        <v>1553.2305037212814</v>
      </c>
      <c r="F45" s="173">
        <f>$M$3*Szorzószámok!E$3*Szorzószámok!$B$10/365*$G$3-$M$3*Szorzószámok!E$3*Szorzószámok!$B$10/365*$G$3*$J$3</f>
        <v>1553.2305037212814</v>
      </c>
      <c r="G45" s="173">
        <f>$M$3*Szorzószámok!F$3*Szorzószámok!$B$10/365*$G$3-$M$3*Szorzószámok!F$3*Szorzószámok!$B$10/365*$G$3*$J$3</f>
        <v>2329.8457555819223</v>
      </c>
      <c r="H45" s="173">
        <f>$M$3*Szorzószámok!G$3*Szorzószámok!$B$10/365*$G$3-$M$3*Szorzószámok!G$3*Szorzószámok!$B$10/365*$G$3*$J$3</f>
        <v>2329.8457555819223</v>
      </c>
      <c r="I45" s="173">
        <f>$M$3*Szorzószámok!H$3*Szorzószámok!$B$10/365*$G$3-$M$3*Szorzószámok!H$3*Szorzószámok!$B$10/365*$G$3*$J$3</f>
        <v>2329.8457555819223</v>
      </c>
      <c r="J45" s="173">
        <f>$M$3*Szorzószámok!I$3*Szorzószámok!$B$10/365*$G$3-$M$3*Szorzószámok!I$3*Szorzószámok!$B$10/365*$G$3*$J$3</f>
        <v>4659.6915111638446</v>
      </c>
      <c r="K45" s="173"/>
      <c r="L45" s="248"/>
    </row>
    <row r="46" spans="1:15" ht="15.75" customHeight="1" thickBot="1" x14ac:dyDescent="0.4">
      <c r="A46" s="236"/>
      <c r="B46" s="243"/>
      <c r="C46" s="161">
        <f>IF($I$3&lt;4,"NEM ADHATÓ",(C44+C45)*($K$3+1))</f>
        <v>986.30136986301363</v>
      </c>
      <c r="D46" s="161">
        <f t="shared" ref="D46:J46" si="9">IF($I$3&lt;4,"NEM ADHATÓ",(D44+D45)*($K$3+1))</f>
        <v>986.30136986301363</v>
      </c>
      <c r="E46" s="161">
        <f t="shared" si="9"/>
        <v>1972.6027397260273</v>
      </c>
      <c r="F46" s="161">
        <f t="shared" si="9"/>
        <v>1972.6027397260273</v>
      </c>
      <c r="G46" s="161">
        <f t="shared" si="9"/>
        <v>2958.9041095890411</v>
      </c>
      <c r="H46" s="161">
        <f t="shared" si="9"/>
        <v>2958.9041095890411</v>
      </c>
      <c r="I46" s="161">
        <f t="shared" si="9"/>
        <v>2958.9041095890411</v>
      </c>
      <c r="J46" s="161">
        <f t="shared" si="9"/>
        <v>5917.8082191780823</v>
      </c>
      <c r="K46" s="161"/>
      <c r="L46" s="249"/>
      <c r="N46" s="35"/>
    </row>
    <row r="47" spans="1:15" ht="15.5" x14ac:dyDescent="0.35">
      <c r="A47" s="236"/>
      <c r="B47" s="241" t="s">
        <v>46</v>
      </c>
      <c r="C47" s="162"/>
      <c r="D47" s="162"/>
      <c r="E47" s="162"/>
      <c r="F47" s="162"/>
      <c r="G47" s="162"/>
      <c r="H47" s="162"/>
      <c r="I47" s="162"/>
      <c r="J47" s="162"/>
      <c r="K47" s="162"/>
      <c r="L47" s="250" t="s">
        <v>47</v>
      </c>
    </row>
    <row r="48" spans="1:15" ht="16" thickBot="1" x14ac:dyDescent="0.4">
      <c r="A48" s="236"/>
      <c r="B48" s="242"/>
      <c r="C48" s="173">
        <f>$M$3*Szorzószámok!B$3*Szorzószámok!$B$10/365*$G$3-$M$3*Szorzószámok!B$3*Szorzószámok!$B$10/365*$G$3*$J$3</f>
        <v>776.61525186064068</v>
      </c>
      <c r="D48" s="173">
        <f>$M$3*Szorzószámok!C$3*Szorzószámok!$B$10/365*$G$3-$M$3*Szorzószámok!C$3*Szorzószámok!$B$10/365*$G$3*$J$3</f>
        <v>776.61525186064068</v>
      </c>
      <c r="E48" s="173">
        <f>$M$3*Szorzószámok!D$3*Szorzószámok!$B$10/365*$G$3-$M$3*Szorzószámok!D$3*Szorzószámok!$B$10/365*$G$3*$J$3</f>
        <v>1553.2305037212814</v>
      </c>
      <c r="F48" s="173">
        <f>$M$3*Szorzószámok!E$3*Szorzószámok!$B$10/365*$G$3-$M$3*Szorzószámok!E$3*Szorzószámok!$B$10/365*$G$3*$J$3</f>
        <v>1553.2305037212814</v>
      </c>
      <c r="G48" s="173">
        <f>$M$3*Szorzószámok!F$3*Szorzószámok!$B$10/365*$G$3-$M$3*Szorzószámok!F$3*Szorzószámok!$B$10/365*$G$3*$J$3</f>
        <v>2329.8457555819223</v>
      </c>
      <c r="H48" s="173">
        <f>$M$3*Szorzószámok!G$3*Szorzószámok!$B$10/365*$G$3-$M$3*Szorzószámok!G$3*Szorzószámok!$B$10/365*$G$3*$J$3</f>
        <v>2329.8457555819223</v>
      </c>
      <c r="I48" s="173">
        <f>$M$3*Szorzószámok!H$3*Szorzószámok!$B$10/365*$G$3-$M$3*Szorzószámok!H$3*Szorzószámok!$B$10/365*$G$3*$J$3</f>
        <v>2329.8457555819223</v>
      </c>
      <c r="J48" s="173">
        <f>$M$3*Szorzószámok!I$3*Szorzószámok!$B$10/365*$G$3-$M$3*Szorzószámok!I$3*Szorzószámok!$B$10/365*$G$3*$J$3</f>
        <v>4659.6915111638446</v>
      </c>
      <c r="K48" s="173"/>
      <c r="L48" s="251"/>
    </row>
    <row r="49" spans="1:12" ht="16" thickBot="1" x14ac:dyDescent="0.4">
      <c r="A49" s="236"/>
      <c r="B49" s="243"/>
      <c r="C49" s="161">
        <f>IF($I$3&lt;4,"NEM ADHATÓ",(C47+C48)*($K$3+1))</f>
        <v>986.30136986301363</v>
      </c>
      <c r="D49" s="161">
        <f t="shared" ref="D49:J49" si="10">IF($I$3&lt;4,"NEM ADHATÓ",(D47+D48)*($K$3+1))</f>
        <v>986.30136986301363</v>
      </c>
      <c r="E49" s="161">
        <f t="shared" si="10"/>
        <v>1972.6027397260273</v>
      </c>
      <c r="F49" s="161">
        <f t="shared" si="10"/>
        <v>1972.6027397260273</v>
      </c>
      <c r="G49" s="161">
        <f t="shared" si="10"/>
        <v>2958.9041095890411</v>
      </c>
      <c r="H49" s="161">
        <f t="shared" si="10"/>
        <v>2958.9041095890411</v>
      </c>
      <c r="I49" s="161">
        <f t="shared" si="10"/>
        <v>2958.9041095890411</v>
      </c>
      <c r="J49" s="161">
        <f t="shared" si="10"/>
        <v>5917.8082191780823</v>
      </c>
      <c r="K49" s="161"/>
      <c r="L49" s="252"/>
    </row>
    <row r="50" spans="1:12" ht="15" customHeight="1" x14ac:dyDescent="0.35">
      <c r="A50" s="236"/>
      <c r="B50" s="241" t="s">
        <v>48</v>
      </c>
      <c r="C50" s="162"/>
      <c r="D50" s="162"/>
      <c r="E50" s="162"/>
      <c r="F50" s="162"/>
      <c r="G50" s="162"/>
      <c r="H50" s="162"/>
      <c r="I50" s="162"/>
      <c r="J50" s="162"/>
      <c r="K50" s="162"/>
      <c r="L50" s="250" t="s">
        <v>49</v>
      </c>
    </row>
    <row r="51" spans="1:12" ht="16" thickBot="1" x14ac:dyDescent="0.4">
      <c r="A51" s="236"/>
      <c r="B51" s="242"/>
      <c r="C51" s="173">
        <f>$M$3*Szorzószámok!B$3*Szorzószámok!$B$11/365*$G$3-$M$3*Szorzószámok!B$3*Szorzószámok!$B$11/365*$G$3*$J$3</f>
        <v>931.93830223276893</v>
      </c>
      <c r="D51" s="173">
        <f>$M$3*Szorzószámok!C$3*Szorzószámok!$B$11/365*$G$3-$M$3*Szorzószámok!C$3*Szorzószámok!$B$11/365*$G$3*$J$3</f>
        <v>931.93830223276893</v>
      </c>
      <c r="E51" s="173">
        <f>$M$3*Szorzószámok!D$3*Szorzószámok!$B$11/365*$G$3-$M$3*Szorzószámok!D$3*Szorzószámok!$B$11/365*$G$3*$J$3</f>
        <v>1863.8766044655379</v>
      </c>
      <c r="F51" s="173">
        <f>$M$3*Szorzószámok!E$3*Szorzószámok!$B$11/365*$G$3-$M$3*Szorzószámok!E$3*Szorzószámok!$B$11/365*$G$3*$J$3</f>
        <v>1863.8766044655379</v>
      </c>
      <c r="G51" s="173">
        <f>$M$3*Szorzószámok!F$3*Szorzószámok!$B$11/365*$G$3-$M$3*Szorzószámok!F$3*Szorzószámok!$B$11/365*$G$3*$J$3</f>
        <v>2795.8149066983065</v>
      </c>
      <c r="H51" s="173">
        <f>$M$3*Szorzószámok!G$3*Szorzószámok!$B$11/365*$G$3-$M$3*Szorzószámok!G$3*Szorzószámok!$B$11/365*$G$3*$J$3</f>
        <v>2795.8149066983065</v>
      </c>
      <c r="I51" s="173">
        <f>$M$3*Szorzószámok!H$3*Szorzószámok!$B$11/365*$G$3-$M$3*Szorzószámok!H$3*Szorzószámok!$B$11/365*$G$3*$J$3</f>
        <v>2795.8149066983065</v>
      </c>
      <c r="J51" s="173">
        <f>$M$3*Szorzószámok!I$3*Szorzószámok!$B$11/365*$G$3-$M$3*Szorzószámok!I$3*Szorzószámok!$B$11/365*$G$3*$J$3</f>
        <v>5591.6298133966129</v>
      </c>
      <c r="K51" s="173"/>
      <c r="L51" s="251"/>
    </row>
    <row r="52" spans="1:12" ht="18.75" customHeight="1" thickBot="1" x14ac:dyDescent="0.4">
      <c r="A52" s="237"/>
      <c r="B52" s="243"/>
      <c r="C52" s="161">
        <f>IF($I$3&lt;4,"NEM ADHATÓ",(C50+C51)*($K$3+1))</f>
        <v>1183.5616438356165</v>
      </c>
      <c r="D52" s="161">
        <f t="shared" ref="D52:J52" si="11">IF($I$3&lt;4,"NEM ADHATÓ",(D50+D51)*($K$3+1))</f>
        <v>1183.5616438356165</v>
      </c>
      <c r="E52" s="161">
        <f t="shared" si="11"/>
        <v>2367.1232876712329</v>
      </c>
      <c r="F52" s="161">
        <f t="shared" si="11"/>
        <v>2367.1232876712329</v>
      </c>
      <c r="G52" s="161">
        <f t="shared" si="11"/>
        <v>3550.6849315068494</v>
      </c>
      <c r="H52" s="161">
        <f t="shared" si="11"/>
        <v>3550.6849315068494</v>
      </c>
      <c r="I52" s="161">
        <f t="shared" si="11"/>
        <v>3550.6849315068494</v>
      </c>
      <c r="J52" s="161">
        <f t="shared" si="11"/>
        <v>7101.3698630136987</v>
      </c>
      <c r="K52" s="161"/>
      <c r="L52" s="252"/>
    </row>
    <row r="53" spans="1:12" ht="13" thickBot="1" x14ac:dyDescent="0.3">
      <c r="A53" s="124"/>
      <c r="B53" s="125"/>
      <c r="C53" s="172"/>
      <c r="D53" s="172"/>
      <c r="E53" s="172"/>
      <c r="F53" s="172"/>
      <c r="G53" s="172"/>
      <c r="H53" s="172"/>
      <c r="I53" s="172"/>
      <c r="J53" s="172"/>
      <c r="K53" s="172"/>
      <c r="L53" s="125"/>
    </row>
    <row r="54" spans="1:12" ht="15.65" customHeight="1" x14ac:dyDescent="0.35">
      <c r="A54" s="235" t="s">
        <v>52</v>
      </c>
      <c r="B54" s="259" t="s">
        <v>41</v>
      </c>
      <c r="C54" s="162"/>
      <c r="D54" s="162"/>
      <c r="E54" s="162"/>
      <c r="F54" s="162"/>
      <c r="G54" s="162"/>
      <c r="H54" s="162"/>
      <c r="I54" s="162"/>
      <c r="J54" s="162"/>
      <c r="K54" s="162"/>
      <c r="L54" s="107"/>
    </row>
    <row r="55" spans="1:12" ht="16" thickBot="1" x14ac:dyDescent="0.4">
      <c r="A55" s="236"/>
      <c r="B55" s="260"/>
      <c r="C55" s="173">
        <f>$M$3*Szorzószámok!B$4*Szorzószámok!$B$12/365*$G$3-$M$3*Szorzószámok!B$4*Szorzószámok!$B$12/365*$G$3*$J$3</f>
        <v>5905.5118110236217</v>
      </c>
      <c r="D55" s="173">
        <f>$M$3*Szorzószámok!C$4*Szorzószámok!$B$12/365*$G$3-$M$3*Szorzószámok!C$4*Szorzószámok!$B$12/365*$G$3*$J$3</f>
        <v>5905.5118110236217</v>
      </c>
      <c r="E55" s="173">
        <f>$M$3*Szorzószámok!D$4*Szorzószámok!$B$12/365*$G$3-$M$3*Szorzószámok!D$4*Szorzószámok!$B$12/365*$G$3*$J$3</f>
        <v>11811.023622047243</v>
      </c>
      <c r="F55" s="173">
        <f>$M$3*Szorzószámok!E$4*Szorzószámok!$B$12/365*$G$3-$M$3*Szorzószámok!E$4*Szorzószámok!$B$12/365*$G$3*$J$3</f>
        <v>11811.023622047243</v>
      </c>
      <c r="G55" s="173">
        <f>$M$3*Szorzószámok!F$4*Szorzószámok!$B$12/365*$G$3-$M$3*Szorzószámok!F$4*Szorzószámok!$B$12/365*$G$3*$J$3</f>
        <v>17716.535433070865</v>
      </c>
      <c r="H55" s="173">
        <f>$M$3*Szorzószámok!G$4*Szorzószámok!$B$12/365*$G$3-$M$3*Szorzószámok!G$4*Szorzószámok!$B$12/365*$G$3*$J$3</f>
        <v>17716.535433070865</v>
      </c>
      <c r="I55" s="173">
        <f>$M$3*Szorzószámok!H$4*Szorzószámok!$B$12/365*$G$3-$M$3*Szorzószámok!H$4*Szorzószámok!$B$12/365*$G$3*$J$3</f>
        <v>17716.535433070865</v>
      </c>
      <c r="J55" s="176">
        <f>$M$3*Szorzószámok!I$4*Szorzószámok!$B$12/365*$G$3-$M$3*Szorzószámok!I$4*Szorzószámok!$B$12/365*$G$3*$J$3</f>
        <v>35433.07086614173</v>
      </c>
      <c r="K55" s="170">
        <f>$M$3*Szorzószámok!J$4*Szorzószámok!$B$12/365*$G$3-$M$3*Szorzószámok!J$4*Szorzószámok!$B$12/365*$G$3*$J$3</f>
        <v>5905.5118110236217</v>
      </c>
      <c r="L55" s="105"/>
    </row>
    <row r="56" spans="1:12" ht="16" thickBot="1" x14ac:dyDescent="0.4">
      <c r="A56" s="236"/>
      <c r="B56" s="261"/>
      <c r="C56" s="161">
        <f>IF($I$3&lt;4,"NEM ADHATÓ",(C54+C55)*($K$3+1))</f>
        <v>7500</v>
      </c>
      <c r="D56" s="161">
        <f t="shared" ref="D56:K56" si="12">IF($I$3&lt;4,"NEM ADHATÓ",(D54+D55)*($K$3+1))</f>
        <v>7500</v>
      </c>
      <c r="E56" s="161">
        <f t="shared" si="12"/>
        <v>15000</v>
      </c>
      <c r="F56" s="161">
        <f t="shared" si="12"/>
        <v>15000</v>
      </c>
      <c r="G56" s="161">
        <f t="shared" si="12"/>
        <v>22500</v>
      </c>
      <c r="H56" s="161">
        <f t="shared" si="12"/>
        <v>22500</v>
      </c>
      <c r="I56" s="161">
        <f t="shared" si="12"/>
        <v>22500</v>
      </c>
      <c r="J56" s="161">
        <f t="shared" si="12"/>
        <v>45000</v>
      </c>
      <c r="K56" s="161">
        <f t="shared" si="12"/>
        <v>7500</v>
      </c>
      <c r="L56" s="105"/>
    </row>
    <row r="57" spans="1:12" ht="15.5" x14ac:dyDescent="0.35">
      <c r="A57" s="236"/>
      <c r="B57" s="276" t="s">
        <v>42</v>
      </c>
      <c r="C57" s="162"/>
      <c r="D57" s="162"/>
      <c r="E57" s="174"/>
      <c r="F57" s="174"/>
      <c r="G57" s="174"/>
      <c r="H57" s="174"/>
      <c r="I57" s="174"/>
      <c r="J57" s="174"/>
      <c r="K57" s="177"/>
      <c r="L57" s="244" t="s">
        <v>43</v>
      </c>
    </row>
    <row r="58" spans="1:12" ht="16" thickBot="1" x14ac:dyDescent="0.4">
      <c r="A58" s="236"/>
      <c r="B58" s="277"/>
      <c r="C58" s="173">
        <v>0</v>
      </c>
      <c r="D58" s="173">
        <v>0</v>
      </c>
      <c r="E58" s="173"/>
      <c r="F58" s="173"/>
      <c r="G58" s="173"/>
      <c r="H58" s="173"/>
      <c r="I58" s="173"/>
      <c r="J58" s="173"/>
      <c r="K58" s="170"/>
      <c r="L58" s="245"/>
    </row>
    <row r="59" spans="1:12" ht="16" thickBot="1" x14ac:dyDescent="0.4">
      <c r="A59" s="236"/>
      <c r="B59" s="278"/>
      <c r="C59" s="161">
        <f>IF($I$3&lt;4,"NEM ADHATÓ",(C57+C58)*($K$3+1))</f>
        <v>0</v>
      </c>
      <c r="D59" s="161">
        <f>IF($I$3&lt;4,"NEM ADHATÓ",(D57+D58)*($K$3+1))</f>
        <v>0</v>
      </c>
      <c r="E59" s="175"/>
      <c r="F59" s="175"/>
      <c r="G59" s="175"/>
      <c r="H59" s="175"/>
      <c r="I59" s="175"/>
      <c r="J59" s="175"/>
      <c r="K59" s="178"/>
      <c r="L59" s="246"/>
    </row>
    <row r="60" spans="1:12" ht="15.5" x14ac:dyDescent="0.35">
      <c r="A60" s="236"/>
      <c r="B60" s="276" t="s">
        <v>44</v>
      </c>
      <c r="C60" s="162"/>
      <c r="D60" s="162"/>
      <c r="E60" s="162"/>
      <c r="F60" s="162"/>
      <c r="G60" s="162"/>
      <c r="H60" s="162"/>
      <c r="I60" s="162"/>
      <c r="J60" s="162"/>
      <c r="K60" s="162"/>
      <c r="L60" s="247" t="s">
        <v>45</v>
      </c>
    </row>
    <row r="61" spans="1:12" ht="16" thickBot="1" x14ac:dyDescent="0.4">
      <c r="A61" s="236"/>
      <c r="B61" s="277"/>
      <c r="C61" s="173">
        <f>$M$3*Szorzószámok!B$4*Szorzószámok!$B$10/365*$G$3-$M$3*Szorzószámok!B$4*Szorzószámok!$B$10/365*$G$3*$J$3</f>
        <v>776.61525186064068</v>
      </c>
      <c r="D61" s="173">
        <f>$M$3*Szorzószámok!C$4*Szorzószámok!$B$10/365*$G$3-$M$3*Szorzószámok!C$4*Szorzószámok!$B$10/365*$G$3*$J$3</f>
        <v>776.61525186064068</v>
      </c>
      <c r="E61" s="173">
        <f>$M$3*Szorzószámok!D$4*Szorzószámok!$B$10/365*$G$3-$M$3*Szorzószámok!D$4*Szorzószámok!$B$10/365*$G$3*$J$3</f>
        <v>1553.2305037212814</v>
      </c>
      <c r="F61" s="173">
        <f>$M$3*Szorzószámok!E$4*Szorzószámok!$B$10/365*$G$3-$M$3*Szorzószámok!E$4*Szorzószámok!$B$10/365*$G$3*$J$3</f>
        <v>1553.2305037212814</v>
      </c>
      <c r="G61" s="173">
        <f>$M$3*Szorzószámok!F$4*Szorzószámok!$B$10/365*$G$3-$M$3*Szorzószámok!F$4*Szorzószámok!$B$10/365*$G$3*$J$3</f>
        <v>2329.8457555819223</v>
      </c>
      <c r="H61" s="173">
        <f>$M$3*Szorzószámok!G$4*Szorzószámok!$B$10/365*$G$3-$M$3*Szorzószámok!G$4*Szorzószámok!$B$10/365*$G$3*$J$3</f>
        <v>2329.8457555819223</v>
      </c>
      <c r="I61" s="173">
        <f>$M$3*Szorzószámok!H$4*Szorzószámok!$B$10/365*$G$3-$M$3*Szorzószámok!H$4*Szorzószámok!$B$10/365*$G$3*$J$3</f>
        <v>2329.8457555819223</v>
      </c>
      <c r="J61" s="176">
        <f>$M$3*Szorzószámok!I$4*Szorzószámok!$B$10/365*$G$3-$M$3*Szorzószámok!I$4*Szorzószámok!$B$10/365*$G$3*$J$3</f>
        <v>4659.6915111638446</v>
      </c>
      <c r="K61" s="170"/>
      <c r="L61" s="248"/>
    </row>
    <row r="62" spans="1:12" ht="16" thickBot="1" x14ac:dyDescent="0.4">
      <c r="A62" s="236"/>
      <c r="B62" s="278"/>
      <c r="C62" s="161">
        <f>IF($I$3&lt;4,"NEM ADHATÓ",(C60+C61)*($K$3+1))</f>
        <v>986.30136986301363</v>
      </c>
      <c r="D62" s="161">
        <f t="shared" ref="D62:J62" si="13">IF($I$3&lt;4,"NEM ADHATÓ",(D60+D61)*($K$3+1))</f>
        <v>986.30136986301363</v>
      </c>
      <c r="E62" s="161">
        <f t="shared" si="13"/>
        <v>1972.6027397260273</v>
      </c>
      <c r="F62" s="161">
        <f t="shared" si="13"/>
        <v>1972.6027397260273</v>
      </c>
      <c r="G62" s="161">
        <f t="shared" si="13"/>
        <v>2958.9041095890411</v>
      </c>
      <c r="H62" s="161">
        <f t="shared" si="13"/>
        <v>2958.9041095890411</v>
      </c>
      <c r="I62" s="161">
        <f t="shared" si="13"/>
        <v>2958.9041095890411</v>
      </c>
      <c r="J62" s="161">
        <f t="shared" si="13"/>
        <v>5917.8082191780823</v>
      </c>
      <c r="K62" s="161"/>
      <c r="L62" s="249"/>
    </row>
    <row r="63" spans="1:12" ht="15.5" x14ac:dyDescent="0.35">
      <c r="A63" s="236"/>
      <c r="B63" s="276" t="s">
        <v>46</v>
      </c>
      <c r="C63" s="162"/>
      <c r="D63" s="162"/>
      <c r="E63" s="162"/>
      <c r="F63" s="162"/>
      <c r="G63" s="162"/>
      <c r="H63" s="162"/>
      <c r="I63" s="162"/>
      <c r="J63" s="162"/>
      <c r="K63" s="162"/>
      <c r="L63" s="250" t="s">
        <v>47</v>
      </c>
    </row>
    <row r="64" spans="1:12" ht="16" thickBot="1" x14ac:dyDescent="0.4">
      <c r="A64" s="236"/>
      <c r="B64" s="277"/>
      <c r="C64" s="173">
        <f>$M$3*Szorzószámok!B$4*Szorzószámok!$B$10/365*$G$3-$M$3*Szorzószámok!B$4*Szorzószámok!$B$10/365*$G$3*$J$3</f>
        <v>776.61525186064068</v>
      </c>
      <c r="D64" s="173">
        <f>$M$3*Szorzószámok!C$4*Szorzószámok!$B$10/365*$G$3-$M$3*Szorzószámok!C$4*Szorzószámok!$B$10/365*$G$3*$J$3</f>
        <v>776.61525186064068</v>
      </c>
      <c r="E64" s="173">
        <f>$M$3*Szorzószámok!D$4*Szorzószámok!$B$10/365*$G$3-$M$3*Szorzószámok!D$4*Szorzószámok!$B$10/365*$G$3*$J$3</f>
        <v>1553.2305037212814</v>
      </c>
      <c r="F64" s="173">
        <f>$M$3*Szorzószámok!E$4*Szorzószámok!$B$10/365*$G$3-$M$3*Szorzószámok!E$4*Szorzószámok!$B$10/365*$G$3*$J$3</f>
        <v>1553.2305037212814</v>
      </c>
      <c r="G64" s="173">
        <f>$M$3*Szorzószámok!F$4*Szorzószámok!$B$10/365*$G$3-$M$3*Szorzószámok!F$4*Szorzószámok!$B$10/365*$G$3*$J$3</f>
        <v>2329.8457555819223</v>
      </c>
      <c r="H64" s="173">
        <f>$M$3*Szorzószámok!G$4*Szorzószámok!$B$10/365*$G$3-$M$3*Szorzószámok!G$4*Szorzószámok!$B$10/365*$G$3*$J$3</f>
        <v>2329.8457555819223</v>
      </c>
      <c r="I64" s="173">
        <f>$M$3*Szorzószámok!H$4*Szorzószámok!$B$10/365*$G$3-$M$3*Szorzószámok!H$4*Szorzószámok!$B$10/365*$G$3*$J$3</f>
        <v>2329.8457555819223</v>
      </c>
      <c r="J64" s="173">
        <f>$M$3*Szorzószámok!I$4*Szorzószámok!$B$10/365*$G$3-$M$3*Szorzószámok!I$4*Szorzószámok!$B$10/365*$G$3*$J$3</f>
        <v>4659.6915111638446</v>
      </c>
      <c r="K64" s="173"/>
      <c r="L64" s="251"/>
    </row>
    <row r="65" spans="1:12" ht="16" thickBot="1" x14ac:dyDescent="0.4">
      <c r="A65" s="236"/>
      <c r="B65" s="278"/>
      <c r="C65" s="161">
        <f>IF($I$3&lt;4,"NEM ADHATÓ",(C63+C64)*($K$3+1))</f>
        <v>986.30136986301363</v>
      </c>
      <c r="D65" s="161">
        <f t="shared" ref="D65:J65" si="14">IF($I$3&lt;4,"NEM ADHATÓ",(D63+D64)*($K$3+1))</f>
        <v>986.30136986301363</v>
      </c>
      <c r="E65" s="161">
        <f t="shared" si="14"/>
        <v>1972.6027397260273</v>
      </c>
      <c r="F65" s="161">
        <f t="shared" si="14"/>
        <v>1972.6027397260273</v>
      </c>
      <c r="G65" s="161">
        <f t="shared" si="14"/>
        <v>2958.9041095890411</v>
      </c>
      <c r="H65" s="161">
        <f t="shared" si="14"/>
        <v>2958.9041095890411</v>
      </c>
      <c r="I65" s="161">
        <f t="shared" si="14"/>
        <v>2958.9041095890411</v>
      </c>
      <c r="J65" s="161">
        <f t="shared" si="14"/>
        <v>5917.8082191780823</v>
      </c>
      <c r="K65" s="161"/>
      <c r="L65" s="252"/>
    </row>
    <row r="66" spans="1:12" ht="15.5" x14ac:dyDescent="0.35">
      <c r="A66" s="236"/>
      <c r="B66" s="276" t="s">
        <v>48</v>
      </c>
      <c r="C66" s="162"/>
      <c r="D66" s="162"/>
      <c r="E66" s="162"/>
      <c r="F66" s="162"/>
      <c r="G66" s="162"/>
      <c r="H66" s="162"/>
      <c r="I66" s="162"/>
      <c r="J66" s="162"/>
      <c r="K66" s="162"/>
      <c r="L66" s="250" t="s">
        <v>49</v>
      </c>
    </row>
    <row r="67" spans="1:12" ht="16" thickBot="1" x14ac:dyDescent="0.4">
      <c r="A67" s="236"/>
      <c r="B67" s="277"/>
      <c r="C67" s="173">
        <f>$M$3*Szorzószámok!B$4*Szorzószámok!$B$11/365*$G$3-$M$3*Szorzószámok!B$4*Szorzószámok!$B$11/365*$G$3*$J$3</f>
        <v>931.93830223276893</v>
      </c>
      <c r="D67" s="173">
        <f>$M$3*Szorzószámok!C$4*Szorzószámok!$B$11/365*$G$3-$M$3*Szorzószámok!C$4*Szorzószámok!$B$11/365*$G$3*$J$3</f>
        <v>931.93830223276893</v>
      </c>
      <c r="E67" s="173">
        <f>$M$3*Szorzószámok!D$4*Szorzószámok!$B$11/365*$G$3-$M$3*Szorzószámok!D$4*Szorzószámok!$B$11/365*$G$3*$J$3</f>
        <v>1863.8766044655379</v>
      </c>
      <c r="F67" s="173">
        <f>$M$3*Szorzószámok!E$4*Szorzószámok!$B$11/365*$G$3-$M$3*Szorzószámok!E$4*Szorzószámok!$B$11/365*$G$3*$J$3</f>
        <v>1863.8766044655379</v>
      </c>
      <c r="G67" s="173">
        <f>$M$3*Szorzószámok!F$4*Szorzószámok!$B$11/365*$G$3-$M$3*Szorzószámok!F$4*Szorzószámok!$B$11/365*$G$3*$J$3</f>
        <v>2795.8149066983065</v>
      </c>
      <c r="H67" s="173">
        <f>$M$3*Szorzószámok!G$4*Szorzószámok!$B$11/365*$G$3-$M$3*Szorzószámok!G$4*Szorzószámok!$B$11/365*$G$3*$J$3</f>
        <v>2795.8149066983065</v>
      </c>
      <c r="I67" s="173">
        <f>$M$3*Szorzószámok!H$4*Szorzószámok!$B$11/365*$G$3-$M$3*Szorzószámok!H$4*Szorzószámok!$B$11/365*$G$3*$J$3</f>
        <v>2795.8149066983065</v>
      </c>
      <c r="J67" s="173">
        <f>$M$3*Szorzószámok!I$4*Szorzószámok!$B$11/365*$G$3-$M$3*Szorzószámok!I$4*Szorzószámok!$B$11/365*$G$3*$J$3</f>
        <v>5591.6298133966129</v>
      </c>
      <c r="K67" s="173"/>
      <c r="L67" s="251"/>
    </row>
    <row r="68" spans="1:12" ht="16" thickBot="1" x14ac:dyDescent="0.4">
      <c r="A68" s="236"/>
      <c r="B68" s="278"/>
      <c r="C68" s="161">
        <f>IF($I$3&lt;4,"NEM ADHATÓ",(C66+C67)*($K$3+1))</f>
        <v>1183.5616438356165</v>
      </c>
      <c r="D68" s="161">
        <f t="shared" ref="D68:J68" si="15">IF($I$3&lt;4,"NEM ADHATÓ",(D66+D67)*($K$3+1))</f>
        <v>1183.5616438356165</v>
      </c>
      <c r="E68" s="161">
        <f t="shared" si="15"/>
        <v>2367.1232876712329</v>
      </c>
      <c r="F68" s="161">
        <f t="shared" si="15"/>
        <v>2367.1232876712329</v>
      </c>
      <c r="G68" s="161">
        <f t="shared" si="15"/>
        <v>3550.6849315068494</v>
      </c>
      <c r="H68" s="161">
        <f t="shared" si="15"/>
        <v>3550.6849315068494</v>
      </c>
      <c r="I68" s="161">
        <f t="shared" si="15"/>
        <v>3550.6849315068494</v>
      </c>
      <c r="J68" s="161">
        <f t="shared" si="15"/>
        <v>7101.3698630136987</v>
      </c>
      <c r="K68" s="161"/>
      <c r="L68" s="252"/>
    </row>
    <row r="69" spans="1:12" ht="15.5" x14ac:dyDescent="0.35">
      <c r="A69" s="236"/>
      <c r="B69" s="253" t="s">
        <v>53</v>
      </c>
      <c r="C69" s="162"/>
      <c r="D69" s="162"/>
      <c r="E69" s="162"/>
      <c r="F69" s="162"/>
      <c r="G69" s="162"/>
      <c r="H69" s="162"/>
      <c r="I69" s="162"/>
      <c r="J69" s="162"/>
      <c r="K69" s="162"/>
      <c r="L69" s="256" t="s">
        <v>54</v>
      </c>
    </row>
    <row r="70" spans="1:12" ht="16" thickBot="1" x14ac:dyDescent="0.4">
      <c r="A70" s="236"/>
      <c r="B70" s="254"/>
      <c r="C70" s="179">
        <f>$M$3*Szorzószámok!B$4*Szorzószámok!$B$9/365*$G$3</f>
        <v>2426.9226620645022</v>
      </c>
      <c r="D70" s="179">
        <f>$M$3*Szorzószámok!C$4*Szorzószámok!$B$9/365*$G$3</f>
        <v>2426.9226620645022</v>
      </c>
      <c r="E70" s="179"/>
      <c r="F70" s="179"/>
      <c r="G70" s="179"/>
      <c r="H70" s="179"/>
      <c r="I70" s="179"/>
      <c r="J70" s="179"/>
      <c r="K70" s="179"/>
      <c r="L70" s="257"/>
    </row>
    <row r="71" spans="1:12" ht="16" thickBot="1" x14ac:dyDescent="0.4">
      <c r="A71" s="236"/>
      <c r="B71" s="255"/>
      <c r="C71" s="161">
        <f>(C69+C70)*($K$3+1)</f>
        <v>3082.1917808219177</v>
      </c>
      <c r="D71" s="161">
        <f>IF($I$3&lt;4,"NEM ADHATÓ",(D69+D70)*($K$3+1))</f>
        <v>3082.1917808219177</v>
      </c>
      <c r="E71" s="180"/>
      <c r="F71" s="180"/>
      <c r="G71" s="180"/>
      <c r="H71" s="180"/>
      <c r="I71" s="180"/>
      <c r="J71" s="180"/>
      <c r="K71" s="180"/>
      <c r="L71" s="258"/>
    </row>
    <row r="72" spans="1:12" ht="15.5" x14ac:dyDescent="0.35">
      <c r="A72" s="236"/>
      <c r="B72" s="253" t="s">
        <v>55</v>
      </c>
      <c r="C72" s="162"/>
      <c r="D72" s="162"/>
      <c r="E72" s="162"/>
      <c r="F72" s="162"/>
      <c r="G72" s="162"/>
      <c r="H72" s="162"/>
      <c r="I72" s="162"/>
      <c r="J72" s="162"/>
      <c r="K72" s="162"/>
      <c r="L72" s="256" t="s">
        <v>54</v>
      </c>
    </row>
    <row r="73" spans="1:12" ht="16" thickBot="1" x14ac:dyDescent="0.4">
      <c r="A73" s="236"/>
      <c r="B73" s="254"/>
      <c r="C73" s="179">
        <f>$M$3*Szorzószámok!B$4*Szorzószámok!$B$13/365*$G$3-$M$3*Szorzószámok!B$4*Szorzószámok!$B$13/365*$G$3*$J$3</f>
        <v>1213.4613310322511</v>
      </c>
      <c r="D73" s="179">
        <f>$M$3*Szorzószámok!C$4*Szorzószámok!$B$13/365*$G$3-$M$3*Szorzószámok!C$4*Szorzószámok!$B$13/365*$G$3*$J$3</f>
        <v>1213.4613310322511</v>
      </c>
      <c r="E73" s="179"/>
      <c r="F73" s="179"/>
      <c r="G73" s="179"/>
      <c r="H73" s="179"/>
      <c r="I73" s="179"/>
      <c r="J73" s="179"/>
      <c r="K73" s="179">
        <f>$M$3*Szorzószámok!J$4*Szorzószámok!$B$13/365*$G$3-$M$3*Szorzószámok!J$4*Szorzószámok!$B$13/365*$G$3*$J$3</f>
        <v>1213.4613310322511</v>
      </c>
      <c r="L73" s="257"/>
    </row>
    <row r="74" spans="1:12" ht="16" thickBot="1" x14ac:dyDescent="0.4">
      <c r="A74" s="237"/>
      <c r="B74" s="255"/>
      <c r="C74" s="161">
        <f>IF($I$3&lt;4,"NEM ADHATÓ",(C72+C73)*($K$3+1))</f>
        <v>1541.0958904109589</v>
      </c>
      <c r="D74" s="161">
        <f>IF($I$3&lt;4,"NEM ADHATÓ",(D72+D73)*($K$3+1))</f>
        <v>1541.0958904109589</v>
      </c>
      <c r="E74" s="180"/>
      <c r="F74" s="180"/>
      <c r="G74" s="180"/>
      <c r="H74" s="180"/>
      <c r="I74" s="180"/>
      <c r="J74" s="180"/>
      <c r="K74" s="161">
        <f>IF($I$3&lt;4,"NEM ADHATÓ",(K72+K73)*($K$3+1))</f>
        <v>1541.0958904109589</v>
      </c>
      <c r="L74" s="258"/>
    </row>
    <row r="75" spans="1:12" ht="13" thickBot="1" x14ac:dyDescent="0.3">
      <c r="A75" s="124"/>
      <c r="B75" s="125"/>
      <c r="C75" s="172"/>
      <c r="D75" s="172"/>
      <c r="E75" s="172"/>
      <c r="F75" s="172"/>
      <c r="G75" s="172"/>
      <c r="H75" s="172"/>
      <c r="I75" s="172"/>
      <c r="J75" s="172"/>
      <c r="K75" s="172"/>
      <c r="L75" s="125"/>
    </row>
    <row r="76" spans="1:12" ht="15.5" x14ac:dyDescent="0.35">
      <c r="A76" s="264" t="s">
        <v>56</v>
      </c>
      <c r="B76" s="267" t="s">
        <v>41</v>
      </c>
      <c r="C76" s="162"/>
      <c r="D76" s="162"/>
      <c r="E76" s="162"/>
      <c r="F76" s="162"/>
      <c r="G76" s="162"/>
      <c r="H76" s="162"/>
      <c r="I76" s="162"/>
      <c r="J76" s="162"/>
      <c r="K76" s="162"/>
      <c r="L76" s="107"/>
    </row>
    <row r="77" spans="1:12" ht="16" thickBot="1" x14ac:dyDescent="0.4">
      <c r="A77" s="265"/>
      <c r="B77" s="268"/>
      <c r="C77" s="170">
        <f>$M$3*Szorzószámok!B$5*Szorzószámok!$B$12/365*$G$3-$M$3*Szorzószámok!B$5*Szorzószámok!$B$12/365*$G$3*$J$3</f>
        <v>4724.4094488188975</v>
      </c>
      <c r="D77" s="170">
        <f>$M$3*Szorzószámok!C$5*Szorzószámok!$B$12/365*$G$3-$M$3*Szorzószámok!C$5*Szorzószámok!$B$12/365*$G$3*$J$3</f>
        <v>4724.4094488188975</v>
      </c>
      <c r="E77" s="170">
        <f>$M$3*Szorzószámok!D$5*Szorzószámok!$B$12/365*$G$3-$M$3*Szorzószámok!D$5*Szorzószámok!$B$12/365*$G$3*$J$3</f>
        <v>9448.8188976377951</v>
      </c>
      <c r="F77" s="170">
        <f>$M$3*Szorzószámok!E$5*Szorzószámok!$B$12/365*$G$3-$M$3*Szorzószámok!E$5*Szorzószámok!$B$12/365*$G$3*$J$3</f>
        <v>9448.8188976377951</v>
      </c>
      <c r="G77" s="170">
        <f>$M$3*Szorzószámok!F$5*Szorzószámok!$B$12/365*$G$3-$M$3*Szorzószámok!F$5*Szorzószámok!$B$12/365*$G$3*$J$3</f>
        <v>14173.228346456695</v>
      </c>
      <c r="H77" s="170">
        <f>$M$3*Szorzószámok!G$5*Szorzószámok!$B$12/365*$G$3-$M$3*Szorzószámok!G$5*Szorzószámok!$B$12/365*$G$3*$J$3</f>
        <v>14173.228346456695</v>
      </c>
      <c r="I77" s="170">
        <f>$M$3*Szorzószámok!H$5*Szorzószámok!$B$12/365*$G$3-$M$3*Szorzószámok!H$5*Szorzószámok!$B$12/365*$G$3*$J$3</f>
        <v>14173.228346456695</v>
      </c>
      <c r="J77" s="170">
        <f>$M$3*Szorzószámok!I$5*Szorzószámok!$B$12/365*$G$3-$M$3*Szorzószámok!I$5*Szorzószámok!$B$12/365*$G$3*$J$3</f>
        <v>28346.456692913391</v>
      </c>
      <c r="K77" s="170">
        <f>$M$3*Szorzószámok!J$5*Szorzószámok!$B$12/365*$G$3-$M$3*Szorzószámok!J$5*Szorzószámok!$B$12/365*$G$3*$J$3</f>
        <v>4724.4094488188975</v>
      </c>
      <c r="L77" s="105"/>
    </row>
    <row r="78" spans="1:12" ht="16" thickBot="1" x14ac:dyDescent="0.4">
      <c r="A78" s="265"/>
      <c r="B78" s="269"/>
      <c r="C78" s="161">
        <f>IF($I$3&lt;4,"NEM ADHATÓ",(C76+C77)*($K$3+1))</f>
        <v>6000</v>
      </c>
      <c r="D78" s="161">
        <f t="shared" ref="D78:K78" si="16">IF($I$3&lt;4,"NEM ADHATÓ",(D76+D77)*($K$3+1))</f>
        <v>6000</v>
      </c>
      <c r="E78" s="161">
        <f t="shared" si="16"/>
        <v>12000</v>
      </c>
      <c r="F78" s="161">
        <f t="shared" si="16"/>
        <v>12000</v>
      </c>
      <c r="G78" s="161">
        <f t="shared" si="16"/>
        <v>18000.000000000004</v>
      </c>
      <c r="H78" s="161">
        <f t="shared" si="16"/>
        <v>18000.000000000004</v>
      </c>
      <c r="I78" s="161">
        <f t="shared" si="16"/>
        <v>18000.000000000004</v>
      </c>
      <c r="J78" s="161">
        <f t="shared" si="16"/>
        <v>36000.000000000007</v>
      </c>
      <c r="K78" s="161">
        <f t="shared" si="16"/>
        <v>6000</v>
      </c>
      <c r="L78" s="105"/>
    </row>
    <row r="79" spans="1:12" ht="15.5" x14ac:dyDescent="0.35">
      <c r="A79" s="265"/>
      <c r="B79" s="270" t="s">
        <v>42</v>
      </c>
      <c r="C79" s="162"/>
      <c r="D79" s="162"/>
      <c r="E79" s="163"/>
      <c r="F79" s="163"/>
      <c r="G79" s="163"/>
      <c r="H79" s="163"/>
      <c r="I79" s="163"/>
      <c r="J79" s="163"/>
      <c r="K79" s="163"/>
      <c r="L79" s="244" t="s">
        <v>43</v>
      </c>
    </row>
    <row r="80" spans="1:12" ht="16" thickBot="1" x14ac:dyDescent="0.4">
      <c r="A80" s="265"/>
      <c r="B80" s="271"/>
      <c r="C80" s="170">
        <v>0</v>
      </c>
      <c r="D80" s="170">
        <v>0</v>
      </c>
      <c r="E80" s="170"/>
      <c r="F80" s="170"/>
      <c r="G80" s="170"/>
      <c r="H80" s="170"/>
      <c r="I80" s="170"/>
      <c r="J80" s="170"/>
      <c r="K80" s="170"/>
      <c r="L80" s="245"/>
    </row>
    <row r="81" spans="1:12" ht="16" thickBot="1" x14ac:dyDescent="0.4">
      <c r="A81" s="265"/>
      <c r="B81" s="272"/>
      <c r="C81" s="161">
        <f>IF($I$3&lt;4,"NEM ADHATÓ",(C79+C80)*($K$3+1))</f>
        <v>0</v>
      </c>
      <c r="D81" s="161">
        <f>IF($I$3&lt;4,"NEM ADHATÓ",(D79+D80)*($K$3+1))</f>
        <v>0</v>
      </c>
      <c r="E81" s="171"/>
      <c r="F81" s="171"/>
      <c r="G81" s="171"/>
      <c r="H81" s="171"/>
      <c r="I81" s="171"/>
      <c r="J81" s="171"/>
      <c r="K81" s="171"/>
      <c r="L81" s="246"/>
    </row>
    <row r="82" spans="1:12" ht="15.5" x14ac:dyDescent="0.35">
      <c r="A82" s="265"/>
      <c r="B82" s="270" t="s">
        <v>44</v>
      </c>
      <c r="C82" s="162"/>
      <c r="D82" s="162"/>
      <c r="E82" s="162"/>
      <c r="F82" s="162"/>
      <c r="G82" s="162"/>
      <c r="H82" s="162"/>
      <c r="I82" s="162"/>
      <c r="J82" s="162"/>
      <c r="K82" s="162"/>
      <c r="L82" s="273" t="s">
        <v>45</v>
      </c>
    </row>
    <row r="83" spans="1:12" ht="16" thickBot="1" x14ac:dyDescent="0.4">
      <c r="A83" s="265"/>
      <c r="B83" s="271"/>
      <c r="C83" s="170">
        <f>$M$3*Szorzószámok!B$5*Szorzószámok!$B$10/365*$G$3-$M$3*Szorzószámok!B$5*Szorzószámok!$B$10/365*$G$3*$J$3</f>
        <v>621.29220148851255</v>
      </c>
      <c r="D83" s="170">
        <f>$M$3*Szorzószámok!C$5*Szorzószámok!$B$10/365*$G$3-$M$3*Szorzószámok!C$5*Szorzószámok!$B$10/365*$G$3*$J$3</f>
        <v>621.29220148851255</v>
      </c>
      <c r="E83" s="170">
        <f>$M$3*Szorzószámok!D$5*Szorzószámok!$B$10/365*$G$3-$M$3*Szorzószámok!D$5*Szorzószámok!$B$10/365*$G$3*$J$3</f>
        <v>1242.5844029770251</v>
      </c>
      <c r="F83" s="170">
        <f>$M$3*Szorzószámok!E$5*Szorzószámok!$B$10/365*$G$3-$M$3*Szorzószámok!E$5*Szorzószámok!$B$10/365*$G$3*$J$3</f>
        <v>1242.5844029770251</v>
      </c>
      <c r="G83" s="170">
        <f>$M$3*Szorzószámok!F$5*Szorzószámok!$B$10/365*$G$3-$M$3*Szorzószámok!F$5*Szorzószámok!$B$10/365*$G$3*$J$3</f>
        <v>1863.8766044655379</v>
      </c>
      <c r="H83" s="170">
        <f>$M$3*Szorzószámok!G$5*Szorzószámok!$B$10/365*$G$3-$M$3*Szorzószámok!G$5*Szorzószámok!$B$10/365*$G$3*$J$3</f>
        <v>1863.8766044655379</v>
      </c>
      <c r="I83" s="170">
        <f>$M$3*Szorzószámok!H$5*Szorzószámok!$B$10/365*$G$3-$M$3*Szorzószámok!H$5*Szorzószámok!$B$10/365*$G$3*$J$3</f>
        <v>1863.8766044655379</v>
      </c>
      <c r="J83" s="170">
        <f>$M$3*Szorzószámok!I$5*Szorzószámok!$B$10/365*$G$3-$M$3*Szorzószámok!I$5*Szorzószámok!$B$10/365*$G$3*$J$3</f>
        <v>3727.7532089310757</v>
      </c>
      <c r="K83" s="170"/>
      <c r="L83" s="274"/>
    </row>
    <row r="84" spans="1:12" ht="16" thickBot="1" x14ac:dyDescent="0.4">
      <c r="A84" s="265"/>
      <c r="B84" s="272"/>
      <c r="C84" s="161">
        <f>IF($I$3&lt;4,"NEM ADHATÓ",(C82+C83)*($K$3+1))</f>
        <v>789.04109589041093</v>
      </c>
      <c r="D84" s="161">
        <f t="shared" ref="D84:J84" si="17">IF($I$3&lt;4,"NEM ADHATÓ",(D82+D83)*($K$3+1))</f>
        <v>789.04109589041093</v>
      </c>
      <c r="E84" s="161">
        <f t="shared" si="17"/>
        <v>1578.0821917808219</v>
      </c>
      <c r="F84" s="161">
        <f t="shared" si="17"/>
        <v>1578.0821917808219</v>
      </c>
      <c r="G84" s="161">
        <f t="shared" si="17"/>
        <v>2367.1232876712329</v>
      </c>
      <c r="H84" s="161">
        <f t="shared" si="17"/>
        <v>2367.1232876712329</v>
      </c>
      <c r="I84" s="161">
        <f t="shared" si="17"/>
        <v>2367.1232876712329</v>
      </c>
      <c r="J84" s="161">
        <f t="shared" si="17"/>
        <v>4734.2465753424658</v>
      </c>
      <c r="K84" s="161"/>
      <c r="L84" s="275"/>
    </row>
    <row r="85" spans="1:12" ht="15.5" x14ac:dyDescent="0.35">
      <c r="A85" s="265"/>
      <c r="B85" s="270" t="s">
        <v>46</v>
      </c>
      <c r="C85" s="162"/>
      <c r="D85" s="162"/>
      <c r="E85" s="162"/>
      <c r="F85" s="162"/>
      <c r="G85" s="162"/>
      <c r="H85" s="162"/>
      <c r="I85" s="162"/>
      <c r="J85" s="162"/>
      <c r="K85" s="162"/>
      <c r="L85" s="273" t="s">
        <v>47</v>
      </c>
    </row>
    <row r="86" spans="1:12" ht="16" thickBot="1" x14ac:dyDescent="0.4">
      <c r="A86" s="265"/>
      <c r="B86" s="271"/>
      <c r="C86" s="170">
        <f>$M$3*Szorzószámok!B$5*Szorzószámok!$B$10/365*$G$3-$M$3*Szorzószámok!B$5*Szorzószámok!$B$10/365*$G$3*$J$3</f>
        <v>621.29220148851255</v>
      </c>
      <c r="D86" s="170">
        <f>$M$3*Szorzószámok!C$5*Szorzószámok!$B$10/365*$G$3-$M$3*Szorzószámok!C$5*Szorzószámok!$B$10/365*$G$3*$J$3</f>
        <v>621.29220148851255</v>
      </c>
      <c r="E86" s="170">
        <f>$M$3*Szorzószámok!D$5*Szorzószámok!$B$10/365*$G$3-$M$3*Szorzószámok!D$5*Szorzószámok!$B$10/365*$G$3*$J$3</f>
        <v>1242.5844029770251</v>
      </c>
      <c r="F86" s="170">
        <f>$M$3*Szorzószámok!E$5*Szorzószámok!$B$10/365*$G$3-$M$3*Szorzószámok!E$5*Szorzószámok!$B$10/365*$G$3*$J$3</f>
        <v>1242.5844029770251</v>
      </c>
      <c r="G86" s="170">
        <f>$M$3*Szorzószámok!F$5*Szorzószámok!$B$10/365*$G$3-$M$3*Szorzószámok!F$5*Szorzószámok!$B$10/365*$G$3*$J$3</f>
        <v>1863.8766044655379</v>
      </c>
      <c r="H86" s="170">
        <f>$M$3*Szorzószámok!G$5*Szorzószámok!$B$10/365*$G$3-$M$3*Szorzószámok!G$5*Szorzószámok!$B$10/365*$G$3*$J$3</f>
        <v>1863.8766044655379</v>
      </c>
      <c r="I86" s="170">
        <f>$M$3*Szorzószámok!H$5*Szorzószámok!$B$10/365*$G$3-$M$3*Szorzószámok!H$5*Szorzószámok!$B$10/365*$G$3*$J$3</f>
        <v>1863.8766044655379</v>
      </c>
      <c r="J86" s="170">
        <f>$M$3*Szorzószámok!I$5*Szorzószámok!$B$10/365*$G$3-$M$3*Szorzószámok!I$5*Szorzószámok!$B$10/365*$G$3*$J$3</f>
        <v>3727.7532089310757</v>
      </c>
      <c r="K86" s="170"/>
      <c r="L86" s="274"/>
    </row>
    <row r="87" spans="1:12" ht="16" thickBot="1" x14ac:dyDescent="0.4">
      <c r="A87" s="265"/>
      <c r="B87" s="272"/>
      <c r="C87" s="161">
        <f>IF($I$3&lt;4,"NEM ADHATÓ",(C85+C86)*($K$3+1))</f>
        <v>789.04109589041093</v>
      </c>
      <c r="D87" s="161">
        <f t="shared" ref="D87:J87" si="18">IF($I$3&lt;4,"NEM ADHATÓ",(D85+D86)*($K$3+1))</f>
        <v>789.04109589041093</v>
      </c>
      <c r="E87" s="161">
        <f t="shared" si="18"/>
        <v>1578.0821917808219</v>
      </c>
      <c r="F87" s="161">
        <f t="shared" si="18"/>
        <v>1578.0821917808219</v>
      </c>
      <c r="G87" s="161">
        <f t="shared" si="18"/>
        <v>2367.1232876712329</v>
      </c>
      <c r="H87" s="161">
        <f t="shared" si="18"/>
        <v>2367.1232876712329</v>
      </c>
      <c r="I87" s="161">
        <f t="shared" si="18"/>
        <v>2367.1232876712329</v>
      </c>
      <c r="J87" s="161">
        <f t="shared" si="18"/>
        <v>4734.2465753424658</v>
      </c>
      <c r="K87" s="161"/>
      <c r="L87" s="275"/>
    </row>
    <row r="88" spans="1:12" ht="15.5" x14ac:dyDescent="0.35">
      <c r="A88" s="265"/>
      <c r="B88" s="270" t="s">
        <v>48</v>
      </c>
      <c r="C88" s="162"/>
      <c r="D88" s="162"/>
      <c r="E88" s="162"/>
      <c r="F88" s="162"/>
      <c r="G88" s="162"/>
      <c r="H88" s="162"/>
      <c r="I88" s="162"/>
      <c r="J88" s="162"/>
      <c r="K88" s="162"/>
      <c r="L88" s="273" t="s">
        <v>49</v>
      </c>
    </row>
    <row r="89" spans="1:12" ht="16" thickBot="1" x14ac:dyDescent="0.4">
      <c r="A89" s="265"/>
      <c r="B89" s="271"/>
      <c r="C89" s="170">
        <f>$M$3*Szorzószámok!B$5*Szorzószámok!$B$11/365*$G$3-$M$3*Szorzószámok!B$5*Szorzószámok!$B$11/365*$G$3*$J$3</f>
        <v>745.55064178621512</v>
      </c>
      <c r="D89" s="170">
        <f>$M$3*Szorzószámok!C$5*Szorzószámok!$B$11/365*$G$3-$M$3*Szorzószámok!C$5*Szorzószámok!$B$11/365*$G$3*$J$3</f>
        <v>745.55064178621512</v>
      </c>
      <c r="E89" s="170">
        <f>$M$3*Szorzószámok!D$5*Szorzószámok!$B$11/365*$G$3-$M$3*Szorzószámok!D$5*Szorzószámok!$B$11/365*$G$3*$J$3</f>
        <v>1491.1012835724302</v>
      </c>
      <c r="F89" s="170">
        <f>$M$3*Szorzószámok!E$5*Szorzószámok!$B$11/365*$G$3-$M$3*Szorzószámok!E$5*Szorzószámok!$B$11/365*$G$3*$J$3</f>
        <v>1491.1012835724302</v>
      </c>
      <c r="G89" s="170">
        <f>$M$3*Szorzószámok!F$5*Szorzószámok!$B$11/365*$G$3-$M$3*Szorzószámok!F$5*Szorzószámok!$B$11/365*$G$3*$J$3</f>
        <v>2236.6519253586453</v>
      </c>
      <c r="H89" s="170">
        <f>$M$3*Szorzószámok!G$5*Szorzószámok!$B$11/365*$G$3-$M$3*Szorzószámok!G$5*Szorzószámok!$B$11/365*$G$3*$J$3</f>
        <v>2236.6519253586453</v>
      </c>
      <c r="I89" s="170">
        <f>$M$3*Szorzószámok!H$5*Szorzószámok!$B$11/365*$G$3-$M$3*Szorzószámok!H$5*Szorzószámok!$B$11/365*$G$3*$J$3</f>
        <v>2236.6519253586453</v>
      </c>
      <c r="J89" s="170">
        <f>$M$3*Szorzószámok!I$5*Szorzószámok!$B$11/365*$G$3-$M$3*Szorzószámok!I$5*Szorzószámok!$B$11/365*$G$3*$J$3</f>
        <v>4473.3038507172905</v>
      </c>
      <c r="K89" s="170"/>
      <c r="L89" s="274"/>
    </row>
    <row r="90" spans="1:12" ht="16" thickBot="1" x14ac:dyDescent="0.4">
      <c r="A90" s="266"/>
      <c r="B90" s="272"/>
      <c r="C90" s="161">
        <f>IF($I$3&lt;4,"NEM ADHATÓ",(C88+C89)*($K$3+1))</f>
        <v>946.84931506849318</v>
      </c>
      <c r="D90" s="161">
        <f t="shared" ref="D90:J90" si="19">IF($I$3&lt;4,"NEM ADHATÓ",(D88+D89)*($K$3+1))</f>
        <v>946.84931506849318</v>
      </c>
      <c r="E90" s="161">
        <f t="shared" si="19"/>
        <v>1893.6986301369864</v>
      </c>
      <c r="F90" s="161">
        <f t="shared" si="19"/>
        <v>1893.6986301369864</v>
      </c>
      <c r="G90" s="161">
        <f t="shared" si="19"/>
        <v>2840.5479452054797</v>
      </c>
      <c r="H90" s="161">
        <f t="shared" si="19"/>
        <v>2840.5479452054797</v>
      </c>
      <c r="I90" s="161">
        <f t="shared" si="19"/>
        <v>2840.5479452054797</v>
      </c>
      <c r="J90" s="161">
        <f t="shared" si="19"/>
        <v>5681.0958904109593</v>
      </c>
      <c r="K90" s="161"/>
      <c r="L90" s="275"/>
    </row>
  </sheetData>
  <sheetProtection sheet="1" objects="1" scenarios="1" selectLockedCells="1"/>
  <mergeCells count="65">
    <mergeCell ref="B1:K1"/>
    <mergeCell ref="B2:F2"/>
    <mergeCell ref="G2:H2"/>
    <mergeCell ref="C3:E3"/>
    <mergeCell ref="G3:H4"/>
    <mergeCell ref="I3:I4"/>
    <mergeCell ref="K3:K4"/>
    <mergeCell ref="L3:L4"/>
    <mergeCell ref="C4:E4"/>
    <mergeCell ref="A6:A20"/>
    <mergeCell ref="B6:B8"/>
    <mergeCell ref="B9:B11"/>
    <mergeCell ref="L9:L11"/>
    <mergeCell ref="B12:B14"/>
    <mergeCell ref="L12:L14"/>
    <mergeCell ref="B15:B17"/>
    <mergeCell ref="L15:L17"/>
    <mergeCell ref="B18:B20"/>
    <mergeCell ref="L18:L20"/>
    <mergeCell ref="A38:A52"/>
    <mergeCell ref="B38:B40"/>
    <mergeCell ref="B41:B43"/>
    <mergeCell ref="L41:L43"/>
    <mergeCell ref="B44:B46"/>
    <mergeCell ref="L44:L46"/>
    <mergeCell ref="B47:B49"/>
    <mergeCell ref="L47:L49"/>
    <mergeCell ref="B57:B59"/>
    <mergeCell ref="L57:L59"/>
    <mergeCell ref="B60:B62"/>
    <mergeCell ref="L60:L62"/>
    <mergeCell ref="B63:B65"/>
    <mergeCell ref="L63:L65"/>
    <mergeCell ref="M3:M4"/>
    <mergeCell ref="J3:J4"/>
    <mergeCell ref="A76:A90"/>
    <mergeCell ref="B76:B78"/>
    <mergeCell ref="B79:B81"/>
    <mergeCell ref="L79:L81"/>
    <mergeCell ref="B82:B84"/>
    <mergeCell ref="L82:L84"/>
    <mergeCell ref="B85:B87"/>
    <mergeCell ref="L85:L87"/>
    <mergeCell ref="B88:B90"/>
    <mergeCell ref="L88:L90"/>
    <mergeCell ref="B66:B68"/>
    <mergeCell ref="L66:L68"/>
    <mergeCell ref="B69:B71"/>
    <mergeCell ref="L69:L71"/>
    <mergeCell ref="A54:A74"/>
    <mergeCell ref="A22:A36"/>
    <mergeCell ref="B22:B24"/>
    <mergeCell ref="B25:B27"/>
    <mergeCell ref="L25:L27"/>
    <mergeCell ref="B28:B30"/>
    <mergeCell ref="L28:L30"/>
    <mergeCell ref="B31:B33"/>
    <mergeCell ref="L31:L33"/>
    <mergeCell ref="B34:B36"/>
    <mergeCell ref="L34:L36"/>
    <mergeCell ref="B72:B74"/>
    <mergeCell ref="L72:L74"/>
    <mergeCell ref="B50:B52"/>
    <mergeCell ref="L50:L52"/>
    <mergeCell ref="B54:B56"/>
  </mergeCells>
  <dataValidations count="1">
    <dataValidation type="whole" allowBlank="1" showInputMessage="1" showErrorMessage="1" sqref="G3:H4" xr:uid="{5C691F68-3427-4DAC-A0CE-06D0C88C4E81}">
      <formula1>1</formula1>
      <formula2>366</formula2>
    </dataValidation>
  </dataValidations>
  <printOptions horizontalCentered="1" verticalCentered="1" gridLines="1"/>
  <pageMargins left="0.31496062992125984" right="0.27559055118110237" top="0.62992125984251968" bottom="0.15748031496062992" header="0.43307086614173229" footer="0"/>
  <pageSetup paperSize="9" scale="56" fitToHeight="0" orientation="landscape" blackAndWhite="1" r:id="rId1"/>
  <headerFooter alignWithMargins="0">
    <oddHeader xml:space="preserve">&amp;CVédett övezetek Ideiglenes 2009&amp;R&amp;D
</oddHeader>
  </headerFooter>
  <rowBreaks count="3" manualBreakCount="3">
    <brk id="37" max="11" man="1"/>
    <brk id="53" max="11" man="1"/>
    <brk id="75" max="11" man="1"/>
  </rowBreaks>
  <colBreaks count="2" manualBreakCount="2">
    <brk id="5" min="4" max="92" man="1"/>
    <brk id="6" min="4" max="92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618477A-F686-44B1-BE60-63E0F86A9E9A}">
          <x14:formula1>
            <xm:f>euro!$E$1:$E$21</xm:f>
          </x14:formula1>
          <xm:sqref>I3:I4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>
    <tabColor theme="8" tint="-0.249977111117893"/>
  </sheetPr>
  <dimension ref="A1:O53"/>
  <sheetViews>
    <sheetView tabSelected="1" workbookViewId="0">
      <selection activeCell="B2" sqref="B2"/>
    </sheetView>
  </sheetViews>
  <sheetFormatPr defaultRowHeight="12.5" x14ac:dyDescent="0.25"/>
  <cols>
    <col min="1" max="1" width="32.26953125" customWidth="1"/>
    <col min="2" max="2" width="16.54296875" customWidth="1"/>
    <col min="3" max="3" width="18" customWidth="1"/>
    <col min="4" max="4" width="11.7265625" customWidth="1"/>
    <col min="5" max="5" width="12.453125" hidden="1" customWidth="1"/>
    <col min="6" max="6" width="17" customWidth="1"/>
    <col min="7" max="7" width="13.1796875" customWidth="1"/>
    <col min="8" max="8" width="34" bestFit="1" customWidth="1"/>
    <col min="9" max="9" width="20.26953125" customWidth="1"/>
    <col min="10" max="10" width="10.26953125" bestFit="1" customWidth="1"/>
    <col min="14" max="14" width="16.81640625" bestFit="1" customWidth="1"/>
    <col min="15" max="15" width="10.26953125" customWidth="1"/>
  </cols>
  <sheetData>
    <row r="1" spans="1:15" ht="16.5" customHeight="1" thickBot="1" x14ac:dyDescent="0.35">
      <c r="A1" s="186" t="s">
        <v>57</v>
      </c>
      <c r="B1" s="200">
        <v>59210</v>
      </c>
      <c r="C1" s="300" t="s">
        <v>58</v>
      </c>
      <c r="D1" s="300"/>
      <c r="E1" s="300"/>
      <c r="F1" s="300"/>
      <c r="G1" s="300"/>
      <c r="H1" s="301"/>
      <c r="I1" s="302" t="s">
        <v>59</v>
      </c>
    </row>
    <row r="2" spans="1:15" ht="27" thickTop="1" thickBot="1" x14ac:dyDescent="0.3">
      <c r="A2" s="186" t="s">
        <v>26</v>
      </c>
      <c r="B2" s="196">
        <v>1</v>
      </c>
      <c r="C2" s="188" t="s">
        <v>27</v>
      </c>
      <c r="D2" s="189" t="s">
        <v>60</v>
      </c>
      <c r="E2" s="189" t="s">
        <v>61</v>
      </c>
      <c r="F2" s="189" t="s">
        <v>62</v>
      </c>
      <c r="G2" s="189" t="s">
        <v>63</v>
      </c>
      <c r="H2" s="190" t="s">
        <v>64</v>
      </c>
      <c r="I2" s="303"/>
    </row>
    <row r="3" spans="1:15" ht="15.75" customHeight="1" thickTop="1" thickBot="1" x14ac:dyDescent="0.4">
      <c r="A3" s="155" t="s">
        <v>65</v>
      </c>
      <c r="B3" s="191">
        <f>VLOOKUP(B13,A17:J53,A16,0)</f>
        <v>1491905.5118110233</v>
      </c>
      <c r="C3" s="193">
        <v>11</v>
      </c>
      <c r="D3" s="201">
        <f ca="1">Munka1!M3</f>
        <v>0</v>
      </c>
      <c r="E3" s="194">
        <v>0</v>
      </c>
      <c r="F3" s="194">
        <v>0</v>
      </c>
      <c r="G3" s="194">
        <v>0</v>
      </c>
      <c r="H3" s="193" t="s">
        <v>66</v>
      </c>
      <c r="I3" s="304"/>
      <c r="O3" s="146"/>
    </row>
    <row r="4" spans="1:15" ht="45.75" customHeight="1" thickTop="1" thickBot="1" x14ac:dyDescent="0.3">
      <c r="A4" s="155" t="s">
        <v>67</v>
      </c>
      <c r="B4" s="156">
        <f>ROUND(SUM(E8:I8),0)</f>
        <v>4973</v>
      </c>
      <c r="C4" s="305">
        <f ca="1">IF((VLOOKUP('Össztömeg-korlátozott övezetek'!C3,Munka1!D2:E23,2,FALSE)+D3+E3+F3+G3+(IF(B10=12,(VLOOKUP('Össztömeg-korlátozott övezetek'!H3,Munka1!J2:K5,2,FALSE)),0)))&lt;0.5,(VLOOKUP('Össztömeg-korlátozott övezetek'!C3,Munka1!D2:E23,2,FALSE)+D3+E3+F3+G3+(IF(B10=12,(VLOOKUP('Össztömeg-korlátozott övezetek'!H3,Munka1!J2:K5,2,FALSE)),0))),0.5)</f>
        <v>0</v>
      </c>
      <c r="D4" s="305"/>
      <c r="E4" s="305"/>
      <c r="F4" s="305"/>
      <c r="G4" s="305"/>
      <c r="H4" s="306"/>
      <c r="I4" s="185">
        <f ca="1">IF(AND($C$3&lt;4,$B$10&lt;10),"Nem adható hozzájárulás!",$B$4*1.27*(100%-$C$4))</f>
        <v>6315.71</v>
      </c>
      <c r="O4" s="146"/>
    </row>
    <row r="5" spans="1:15" ht="15" hidden="1" customHeight="1" thickTop="1" x14ac:dyDescent="0.25">
      <c r="A5" s="152"/>
      <c r="B5" s="138"/>
      <c r="C5" s="138"/>
      <c r="D5" s="138"/>
      <c r="E5" s="138">
        <v>7</v>
      </c>
      <c r="F5" s="138">
        <v>30</v>
      </c>
      <c r="G5" s="138">
        <v>90</v>
      </c>
      <c r="H5" s="138">
        <v>250</v>
      </c>
      <c r="I5" s="138">
        <v>365</v>
      </c>
      <c r="O5" s="146"/>
    </row>
    <row r="6" spans="1:15" ht="15" hidden="1" customHeight="1" x14ac:dyDescent="0.25">
      <c r="A6" s="152"/>
      <c r="B6" s="138"/>
      <c r="C6" s="138"/>
      <c r="D6" s="138"/>
      <c r="E6" s="139">
        <v>7</v>
      </c>
      <c r="F6" s="139">
        <v>23</v>
      </c>
      <c r="G6" s="139">
        <v>60</v>
      </c>
      <c r="H6" s="139">
        <v>160</v>
      </c>
      <c r="I6" s="139">
        <v>115</v>
      </c>
      <c r="O6" s="146"/>
    </row>
    <row r="7" spans="1:15" ht="15" hidden="1" customHeight="1" x14ac:dyDescent="0.25">
      <c r="A7" s="152"/>
      <c r="B7" s="138"/>
      <c r="C7" s="138"/>
      <c r="D7" s="138"/>
      <c r="E7" s="138">
        <f>IF(IF($B$2&gt;E5,E6,$B$2-B5)&gt;0,IF($B$2&gt;E5,E6,$B$2-B5),0)</f>
        <v>1</v>
      </c>
      <c r="F7" s="138">
        <f>IF(IF($B$2&gt;F5,F6,$B$2-E5)&gt;0,IF($B$2&gt;F5,F6,$B$2-E5),0)</f>
        <v>0</v>
      </c>
      <c r="G7" s="138">
        <f>IF(IF($B$2&gt;G5,G6,$B$2-F5)&gt;0,IF($B$2&gt;G5,G6,$B$2-F5),0)</f>
        <v>0</v>
      </c>
      <c r="H7" s="138">
        <f>IF(IF($B$2&gt;H5,H6,$B$2-G5)&gt;0,IF($B$2&gt;H5,H6,$B$2-G5),0)</f>
        <v>0</v>
      </c>
      <c r="I7" s="138">
        <f>IF(IF($B$2&gt;I5,I6,$B$2-H5)&gt;0,IF($B$2&gt;I5,I6,$B$2-H5),0)</f>
        <v>0</v>
      </c>
      <c r="O7" s="146"/>
    </row>
    <row r="8" spans="1:15" ht="13" hidden="1" x14ac:dyDescent="0.25">
      <c r="A8" s="152"/>
      <c r="B8" s="138"/>
      <c r="C8" s="138"/>
      <c r="D8" s="138"/>
      <c r="E8" s="138">
        <f>E7/300*$B$3</f>
        <v>4973.0183727034118</v>
      </c>
      <c r="F8" s="138">
        <f>F7/350*$B$3</f>
        <v>0</v>
      </c>
      <c r="G8" s="138">
        <f>G7/360*$B$3</f>
        <v>0</v>
      </c>
      <c r="H8" s="138">
        <f>H7/415*$B$3</f>
        <v>0</v>
      </c>
      <c r="I8" s="138">
        <f>I7/730*$B$3</f>
        <v>0</v>
      </c>
      <c r="O8" s="146"/>
    </row>
    <row r="9" spans="1:15" ht="15" hidden="1" customHeight="1" thickBot="1" x14ac:dyDescent="0.3">
      <c r="A9" s="152"/>
      <c r="B9" s="138"/>
      <c r="C9" s="138"/>
      <c r="D9" s="138"/>
      <c r="E9" s="138"/>
      <c r="F9" s="138"/>
      <c r="G9" s="138"/>
      <c r="H9" s="138"/>
      <c r="I9" s="138"/>
      <c r="O9" s="146"/>
    </row>
    <row r="10" spans="1:15" ht="15" customHeight="1" thickTop="1" thickBot="1" x14ac:dyDescent="0.3">
      <c r="A10" s="187" t="s">
        <v>68</v>
      </c>
      <c r="B10" s="195">
        <v>12</v>
      </c>
      <c r="C10" s="138"/>
      <c r="D10" s="138"/>
      <c r="E10" s="138"/>
      <c r="F10" s="138"/>
      <c r="G10" s="138"/>
      <c r="H10" s="138"/>
      <c r="I10" s="138"/>
    </row>
    <row r="11" spans="1:15" ht="15" customHeight="1" thickTop="1" thickBot="1" x14ac:dyDescent="0.3">
      <c r="A11" s="186" t="s">
        <v>69</v>
      </c>
      <c r="B11" s="197">
        <v>40000</v>
      </c>
      <c r="C11" s="138"/>
      <c r="D11" s="138"/>
      <c r="E11" s="138"/>
      <c r="F11" s="138"/>
      <c r="G11" s="138"/>
      <c r="H11" s="138"/>
      <c r="I11" s="138"/>
    </row>
    <row r="12" spans="1:15" ht="15" customHeight="1" thickTop="1" thickBot="1" x14ac:dyDescent="0.3">
      <c r="A12" s="186" t="s">
        <v>70</v>
      </c>
      <c r="B12" s="197">
        <v>2013</v>
      </c>
      <c r="C12" s="138"/>
      <c r="D12" s="138"/>
      <c r="E12" s="138"/>
      <c r="F12" s="138"/>
      <c r="G12" s="138"/>
      <c r="H12" s="138"/>
      <c r="I12" s="138"/>
    </row>
    <row r="13" spans="1:15" ht="15" customHeight="1" thickTop="1" x14ac:dyDescent="0.35">
      <c r="A13" s="155" t="s">
        <v>71</v>
      </c>
      <c r="B13" s="192">
        <f>IF(ROUNDUP(B11/1000-B10,0)&lt;38,ROUNDUP(B11/1000-B10,0),37)</f>
        <v>28</v>
      </c>
      <c r="C13" s="140"/>
      <c r="D13" s="140"/>
      <c r="E13" s="138"/>
      <c r="F13" s="138"/>
      <c r="G13" s="138"/>
      <c r="H13" s="138"/>
      <c r="I13" s="138"/>
    </row>
    <row r="14" spans="1:15" ht="15.75" hidden="1" customHeight="1" thickBot="1" x14ac:dyDescent="0.3">
      <c r="A14" s="199">
        <f>B1/1.27</f>
        <v>46622.047244094487</v>
      </c>
      <c r="B14" s="307" t="s">
        <v>72</v>
      </c>
      <c r="C14" s="308"/>
      <c r="D14" s="309"/>
      <c r="E14" s="308" t="s">
        <v>73</v>
      </c>
      <c r="F14" s="308"/>
      <c r="G14" s="309"/>
      <c r="H14" s="308" t="s">
        <v>74</v>
      </c>
      <c r="I14" s="308"/>
      <c r="J14" s="309"/>
    </row>
    <row r="15" spans="1:15" ht="15.75" hidden="1" customHeight="1" thickBot="1" x14ac:dyDescent="0.3">
      <c r="A15" s="136" t="s">
        <v>71</v>
      </c>
      <c r="B15" s="144">
        <v>3.5</v>
      </c>
      <c r="C15" s="144">
        <v>7.5</v>
      </c>
      <c r="D15" s="144">
        <v>12</v>
      </c>
      <c r="E15" s="144">
        <v>3.5</v>
      </c>
      <c r="F15" s="144">
        <v>7.5</v>
      </c>
      <c r="G15" s="144">
        <v>12</v>
      </c>
      <c r="H15" s="144">
        <v>3.5</v>
      </c>
      <c r="I15" s="144">
        <v>7.5</v>
      </c>
      <c r="J15" s="144">
        <v>12</v>
      </c>
    </row>
    <row r="16" spans="1:15" ht="15.75" hidden="1" customHeight="1" thickBot="1" x14ac:dyDescent="0.3">
      <c r="A16" s="136">
        <f>VLOOKUP(B10,zona,2,0)+IF(B11&lt;12001,0,IF(B11&lt;24001,1,2)*3)+1</f>
        <v>10</v>
      </c>
      <c r="B16" s="141">
        <v>2</v>
      </c>
      <c r="C16" s="141">
        <v>3</v>
      </c>
      <c r="D16" s="141">
        <v>4</v>
      </c>
      <c r="E16" s="141">
        <v>5</v>
      </c>
      <c r="F16" s="141">
        <v>6</v>
      </c>
      <c r="G16" s="141">
        <v>7</v>
      </c>
      <c r="H16" s="141">
        <v>8</v>
      </c>
      <c r="I16" s="141">
        <v>9</v>
      </c>
      <c r="J16" s="141">
        <v>10</v>
      </c>
    </row>
    <row r="17" spans="1:10" ht="15.75" hidden="1" customHeight="1" thickBot="1" x14ac:dyDescent="0.3">
      <c r="A17" s="142">
        <v>1</v>
      </c>
      <c r="B17">
        <f>2*$A$14+$A$14/4</f>
        <v>104899.6062992126</v>
      </c>
      <c r="C17">
        <f>2*$A$14+$A$14/4</f>
        <v>104899.6062992126</v>
      </c>
      <c r="G17">
        <f>2*$A$14+$A$14/2</f>
        <v>116555.11811023622</v>
      </c>
    </row>
    <row r="18" spans="1:10" ht="15.75" hidden="1" customHeight="1" thickBot="1" x14ac:dyDescent="0.3">
      <c r="A18" s="143">
        <v>2</v>
      </c>
      <c r="B18">
        <f t="shared" ref="B18:C21" si="0">B17+$A$14/4</f>
        <v>116555.11811023622</v>
      </c>
      <c r="C18">
        <f t="shared" si="0"/>
        <v>116555.11811023622</v>
      </c>
      <c r="G18">
        <f t="shared" ref="G18:G28" si="1">G17+$A$14/2</f>
        <v>139866.14173228346</v>
      </c>
    </row>
    <row r="19" spans="1:10" ht="15.75" hidden="1" customHeight="1" thickBot="1" x14ac:dyDescent="0.3">
      <c r="A19" s="142">
        <v>3</v>
      </c>
      <c r="B19">
        <f t="shared" si="0"/>
        <v>128210.62992125984</v>
      </c>
      <c r="C19">
        <f t="shared" si="0"/>
        <v>128210.62992125984</v>
      </c>
      <c r="G19">
        <f t="shared" si="1"/>
        <v>163177.1653543307</v>
      </c>
    </row>
    <row r="20" spans="1:10" ht="15.75" hidden="1" customHeight="1" thickBot="1" x14ac:dyDescent="0.3">
      <c r="A20" s="143">
        <v>4</v>
      </c>
      <c r="B20">
        <f t="shared" si="0"/>
        <v>139866.14173228346</v>
      </c>
      <c r="C20">
        <f t="shared" si="0"/>
        <v>139866.14173228346</v>
      </c>
      <c r="G20">
        <f t="shared" si="1"/>
        <v>186488.18897637795</v>
      </c>
    </row>
    <row r="21" spans="1:10" ht="15.75" hidden="1" customHeight="1" thickBot="1" x14ac:dyDescent="0.3">
      <c r="A21" s="142">
        <v>5</v>
      </c>
      <c r="B21">
        <f t="shared" si="0"/>
        <v>151521.6535433071</v>
      </c>
      <c r="C21">
        <f t="shared" si="0"/>
        <v>151521.6535433071</v>
      </c>
      <c r="F21">
        <f>C20+$A$14/2</f>
        <v>163177.1653543307</v>
      </c>
      <c r="G21">
        <f t="shared" si="1"/>
        <v>209799.21259842519</v>
      </c>
    </row>
    <row r="22" spans="1:10" ht="15.75" hidden="1" customHeight="1" thickBot="1" x14ac:dyDescent="0.3">
      <c r="A22" s="143">
        <v>6</v>
      </c>
      <c r="B22">
        <f>B21+$A$14/4</f>
        <v>163177.16535433073</v>
      </c>
      <c r="F22">
        <f t="shared" ref="F22:F33" si="2">F21+$A$14/2</f>
        <v>186488.18897637795</v>
      </c>
      <c r="G22">
        <f t="shared" si="1"/>
        <v>233110.23622047243</v>
      </c>
    </row>
    <row r="23" spans="1:10" ht="15.75" hidden="1" customHeight="1" thickBot="1" x14ac:dyDescent="0.3">
      <c r="A23" s="142">
        <v>7</v>
      </c>
      <c r="B23">
        <f>B22+$A$14/4</f>
        <v>174832.67716535437</v>
      </c>
      <c r="F23">
        <f t="shared" si="2"/>
        <v>209799.21259842519</v>
      </c>
      <c r="G23">
        <f t="shared" si="1"/>
        <v>256421.25984251968</v>
      </c>
    </row>
    <row r="24" spans="1:10" ht="15.75" hidden="1" customHeight="1" thickBot="1" x14ac:dyDescent="0.3">
      <c r="A24" s="143">
        <v>8</v>
      </c>
      <c r="B24">
        <f>B23+$A$14/4</f>
        <v>186488.18897637801</v>
      </c>
      <c r="F24">
        <f t="shared" si="2"/>
        <v>233110.23622047243</v>
      </c>
      <c r="G24">
        <f t="shared" si="1"/>
        <v>279732.28346456692</v>
      </c>
    </row>
    <row r="25" spans="1:10" ht="15.75" hidden="1" customHeight="1" thickBot="1" x14ac:dyDescent="0.3">
      <c r="A25" s="142">
        <v>9</v>
      </c>
      <c r="B25">
        <f>B24+$A$14/4</f>
        <v>198143.70078740164</v>
      </c>
      <c r="E25">
        <f>B24+$A$14/2</f>
        <v>209799.21259842525</v>
      </c>
      <c r="F25">
        <f t="shared" si="2"/>
        <v>256421.25984251968</v>
      </c>
      <c r="G25">
        <f t="shared" si="1"/>
        <v>303043.30708661419</v>
      </c>
    </row>
    <row r="26" spans="1:10" ht="15.75" hidden="1" customHeight="1" thickBot="1" x14ac:dyDescent="0.3">
      <c r="A26" s="143">
        <v>10</v>
      </c>
      <c r="E26">
        <f t="shared" ref="E26:E37" si="3">E25+$A$14/2</f>
        <v>233110.23622047249</v>
      </c>
      <c r="F26">
        <f t="shared" si="2"/>
        <v>279732.28346456692</v>
      </c>
      <c r="G26">
        <f t="shared" si="1"/>
        <v>326354.33070866147</v>
      </c>
    </row>
    <row r="27" spans="1:10" ht="15.75" hidden="1" customHeight="1" thickBot="1" x14ac:dyDescent="0.3">
      <c r="A27" s="142">
        <v>11</v>
      </c>
      <c r="E27">
        <f t="shared" si="3"/>
        <v>256421.25984251974</v>
      </c>
      <c r="F27">
        <f t="shared" si="2"/>
        <v>303043.30708661419</v>
      </c>
      <c r="G27">
        <f t="shared" si="1"/>
        <v>349665.35433070874</v>
      </c>
    </row>
    <row r="28" spans="1:10" ht="15.75" hidden="1" customHeight="1" thickBot="1" x14ac:dyDescent="0.3">
      <c r="A28" s="143">
        <v>12</v>
      </c>
      <c r="E28">
        <f t="shared" si="3"/>
        <v>279732.28346456698</v>
      </c>
      <c r="F28">
        <f t="shared" si="2"/>
        <v>326354.33070866147</v>
      </c>
      <c r="G28">
        <f t="shared" si="1"/>
        <v>372976.37795275601</v>
      </c>
      <c r="J28">
        <f>G28</f>
        <v>372976.37795275601</v>
      </c>
    </row>
    <row r="29" spans="1:10" ht="15.75" hidden="1" customHeight="1" thickBot="1" x14ac:dyDescent="0.3">
      <c r="A29" s="142">
        <v>13</v>
      </c>
      <c r="E29">
        <f t="shared" si="3"/>
        <v>303043.30708661419</v>
      </c>
      <c r="F29">
        <f t="shared" si="2"/>
        <v>349665.35433070874</v>
      </c>
      <c r="J29">
        <f t="shared" ref="J29:J44" si="4">J28+$A$14*1.5</f>
        <v>442909.44881889771</v>
      </c>
    </row>
    <row r="30" spans="1:10" ht="15.75" hidden="1" customHeight="1" thickBot="1" x14ac:dyDescent="0.3">
      <c r="A30" s="143">
        <v>14</v>
      </c>
      <c r="E30">
        <f t="shared" si="3"/>
        <v>326354.33070866147</v>
      </c>
      <c r="F30">
        <f t="shared" si="2"/>
        <v>372976.37795275601</v>
      </c>
      <c r="J30">
        <f t="shared" si="4"/>
        <v>512842.51968503941</v>
      </c>
    </row>
    <row r="31" spans="1:10" ht="15.75" hidden="1" customHeight="1" thickBot="1" x14ac:dyDescent="0.3">
      <c r="A31" s="142">
        <v>15</v>
      </c>
      <c r="E31">
        <f t="shared" si="3"/>
        <v>349665.35433070874</v>
      </c>
      <c r="F31">
        <f t="shared" si="2"/>
        <v>396287.40157480328</v>
      </c>
      <c r="J31">
        <f t="shared" si="4"/>
        <v>582775.59055118111</v>
      </c>
    </row>
    <row r="32" spans="1:10" ht="15.75" hidden="1" customHeight="1" thickBot="1" x14ac:dyDescent="0.3">
      <c r="A32" s="143">
        <v>16</v>
      </c>
      <c r="E32">
        <f t="shared" si="3"/>
        <v>372976.37795275601</v>
      </c>
      <c r="F32">
        <f t="shared" si="2"/>
        <v>419598.42519685056</v>
      </c>
      <c r="J32">
        <f t="shared" si="4"/>
        <v>652708.66141732282</v>
      </c>
    </row>
    <row r="33" spans="1:10" ht="15.75" hidden="1" customHeight="1" thickBot="1" x14ac:dyDescent="0.3">
      <c r="A33" s="142">
        <v>17</v>
      </c>
      <c r="E33">
        <f t="shared" si="3"/>
        <v>396287.40157480328</v>
      </c>
      <c r="F33">
        <f t="shared" si="2"/>
        <v>442909.44881889783</v>
      </c>
      <c r="I33">
        <f>F32+$A$14*1.5</f>
        <v>489531.49606299226</v>
      </c>
      <c r="J33">
        <f t="shared" si="4"/>
        <v>722641.73228346452</v>
      </c>
    </row>
    <row r="34" spans="1:10" ht="15.75" hidden="1" customHeight="1" thickBot="1" x14ac:dyDescent="0.3">
      <c r="A34" s="143">
        <v>18</v>
      </c>
      <c r="E34">
        <f t="shared" si="3"/>
        <v>419598.42519685056</v>
      </c>
      <c r="I34">
        <f t="shared" ref="I34:I49" si="5">I33+$A$14*1.5</f>
        <v>559464.56692913396</v>
      </c>
      <c r="J34">
        <f t="shared" si="4"/>
        <v>792574.80314960622</v>
      </c>
    </row>
    <row r="35" spans="1:10" ht="15.75" hidden="1" customHeight="1" thickBot="1" x14ac:dyDescent="0.3">
      <c r="A35" s="142">
        <v>19</v>
      </c>
      <c r="E35">
        <f t="shared" si="3"/>
        <v>442909.44881889783</v>
      </c>
      <c r="I35">
        <f t="shared" si="5"/>
        <v>629397.63779527566</v>
      </c>
      <c r="J35">
        <f t="shared" si="4"/>
        <v>862507.87401574792</v>
      </c>
    </row>
    <row r="36" spans="1:10" ht="15.75" hidden="1" customHeight="1" thickBot="1" x14ac:dyDescent="0.3">
      <c r="A36" s="143">
        <v>20</v>
      </c>
      <c r="E36">
        <f t="shared" si="3"/>
        <v>466220.4724409451</v>
      </c>
      <c r="I36">
        <f t="shared" si="5"/>
        <v>699330.70866141736</v>
      </c>
      <c r="J36">
        <f t="shared" si="4"/>
        <v>932440.94488188962</v>
      </c>
    </row>
    <row r="37" spans="1:10" ht="15.75" hidden="1" customHeight="1" thickBot="1" x14ac:dyDescent="0.3">
      <c r="A37" s="142">
        <v>21</v>
      </c>
      <c r="E37">
        <f t="shared" si="3"/>
        <v>489531.49606299237</v>
      </c>
      <c r="H37">
        <f>E36+$A$14*1.5</f>
        <v>536153.5433070868</v>
      </c>
      <c r="I37">
        <f t="shared" si="5"/>
        <v>769263.77952755906</v>
      </c>
      <c r="J37">
        <f t="shared" si="4"/>
        <v>1002374.0157480313</v>
      </c>
    </row>
    <row r="38" spans="1:10" ht="15.75" hidden="1" customHeight="1" thickBot="1" x14ac:dyDescent="0.3">
      <c r="A38" s="143">
        <v>22</v>
      </c>
      <c r="H38">
        <f t="shared" ref="H38:H53" si="6">H37+$A$14*1.5</f>
        <v>606086.6141732285</v>
      </c>
      <c r="I38">
        <f t="shared" si="5"/>
        <v>839196.85039370076</v>
      </c>
      <c r="J38">
        <f t="shared" si="4"/>
        <v>1072307.0866141731</v>
      </c>
    </row>
    <row r="39" spans="1:10" ht="15.75" hidden="1" customHeight="1" thickBot="1" x14ac:dyDescent="0.3">
      <c r="A39" s="142">
        <v>23</v>
      </c>
      <c r="H39">
        <f t="shared" si="6"/>
        <v>676019.6850393702</v>
      </c>
      <c r="I39">
        <f t="shared" si="5"/>
        <v>909129.92125984246</v>
      </c>
      <c r="J39">
        <f t="shared" si="4"/>
        <v>1142240.1574803148</v>
      </c>
    </row>
    <row r="40" spans="1:10" ht="15.75" hidden="1" customHeight="1" thickBot="1" x14ac:dyDescent="0.3">
      <c r="A40" s="143">
        <v>24</v>
      </c>
      <c r="H40">
        <f t="shared" si="6"/>
        <v>745952.75590551191</v>
      </c>
      <c r="I40">
        <f t="shared" si="5"/>
        <v>979062.99212598416</v>
      </c>
      <c r="J40">
        <f t="shared" si="4"/>
        <v>1212173.2283464565</v>
      </c>
    </row>
    <row r="41" spans="1:10" ht="15.75" hidden="1" customHeight="1" thickBot="1" x14ac:dyDescent="0.3">
      <c r="A41" s="142">
        <v>25</v>
      </c>
      <c r="H41">
        <f t="shared" si="6"/>
        <v>815885.82677165361</v>
      </c>
      <c r="I41">
        <f t="shared" si="5"/>
        <v>1048996.062992126</v>
      </c>
      <c r="J41">
        <f t="shared" si="4"/>
        <v>1282106.2992125982</v>
      </c>
    </row>
    <row r="42" spans="1:10" ht="15.75" hidden="1" customHeight="1" thickBot="1" x14ac:dyDescent="0.3">
      <c r="A42" s="143">
        <v>26</v>
      </c>
      <c r="H42">
        <f t="shared" si="6"/>
        <v>885818.89763779531</v>
      </c>
      <c r="I42">
        <f t="shared" si="5"/>
        <v>1118929.1338582677</v>
      </c>
      <c r="J42">
        <f t="shared" si="4"/>
        <v>1352039.3700787399</v>
      </c>
    </row>
    <row r="43" spans="1:10" ht="15.75" hidden="1" customHeight="1" thickBot="1" x14ac:dyDescent="0.3">
      <c r="A43" s="142">
        <v>27</v>
      </c>
      <c r="H43">
        <f t="shared" si="6"/>
        <v>955751.96850393701</v>
      </c>
      <c r="I43">
        <f t="shared" si="5"/>
        <v>1188862.2047244094</v>
      </c>
      <c r="J43">
        <f t="shared" si="4"/>
        <v>1421972.4409448816</v>
      </c>
    </row>
    <row r="44" spans="1:10" ht="15.75" hidden="1" customHeight="1" thickBot="1" x14ac:dyDescent="0.3">
      <c r="A44" s="143">
        <v>28</v>
      </c>
      <c r="H44">
        <f t="shared" si="6"/>
        <v>1025685.0393700787</v>
      </c>
      <c r="I44">
        <f t="shared" si="5"/>
        <v>1258795.2755905511</v>
      </c>
      <c r="J44">
        <f t="shared" si="4"/>
        <v>1491905.5118110233</v>
      </c>
    </row>
    <row r="45" spans="1:10" ht="15.75" hidden="1" customHeight="1" thickBot="1" x14ac:dyDescent="0.3">
      <c r="A45" s="142">
        <v>29</v>
      </c>
      <c r="H45">
        <f t="shared" si="6"/>
        <v>1095618.1102362205</v>
      </c>
      <c r="I45">
        <f t="shared" si="5"/>
        <v>1328728.3464566928</v>
      </c>
    </row>
    <row r="46" spans="1:10" ht="15.75" hidden="1" customHeight="1" thickBot="1" x14ac:dyDescent="0.3">
      <c r="A46" s="143">
        <v>30</v>
      </c>
      <c r="H46">
        <f t="shared" si="6"/>
        <v>1165551.1811023622</v>
      </c>
      <c r="I46">
        <f t="shared" si="5"/>
        <v>1398661.4173228345</v>
      </c>
    </row>
    <row r="47" spans="1:10" ht="15.75" hidden="1" customHeight="1" thickBot="1" x14ac:dyDescent="0.3">
      <c r="A47" s="142">
        <v>31</v>
      </c>
      <c r="H47">
        <f t="shared" si="6"/>
        <v>1235484.2519685039</v>
      </c>
      <c r="I47">
        <f t="shared" si="5"/>
        <v>1468594.4881889762</v>
      </c>
    </row>
    <row r="48" spans="1:10" ht="15.75" hidden="1" customHeight="1" thickBot="1" x14ac:dyDescent="0.3">
      <c r="A48" s="143">
        <v>32</v>
      </c>
      <c r="H48">
        <f t="shared" si="6"/>
        <v>1305417.3228346456</v>
      </c>
      <c r="I48">
        <f t="shared" si="5"/>
        <v>1538527.5590551179</v>
      </c>
    </row>
    <row r="49" spans="1:9" ht="15.75" hidden="1" customHeight="1" thickBot="1" x14ac:dyDescent="0.3">
      <c r="A49" s="142">
        <v>33</v>
      </c>
      <c r="H49">
        <f t="shared" si="6"/>
        <v>1375350.3937007873</v>
      </c>
      <c r="I49">
        <f t="shared" si="5"/>
        <v>1608460.6299212596</v>
      </c>
    </row>
    <row r="50" spans="1:9" ht="15.75" hidden="1" customHeight="1" thickBot="1" x14ac:dyDescent="0.3">
      <c r="A50" s="143">
        <v>34</v>
      </c>
      <c r="H50">
        <f t="shared" si="6"/>
        <v>1445283.464566929</v>
      </c>
    </row>
    <row r="51" spans="1:9" ht="15.75" hidden="1" customHeight="1" thickBot="1" x14ac:dyDescent="0.3">
      <c r="A51" s="142">
        <v>35</v>
      </c>
      <c r="H51">
        <f t="shared" si="6"/>
        <v>1515216.5354330707</v>
      </c>
    </row>
    <row r="52" spans="1:9" ht="15.75" hidden="1" customHeight="1" thickBot="1" x14ac:dyDescent="0.3">
      <c r="A52" s="143">
        <v>36</v>
      </c>
      <c r="H52">
        <f t="shared" si="6"/>
        <v>1585149.6062992124</v>
      </c>
    </row>
    <row r="53" spans="1:9" ht="15.75" hidden="1" customHeight="1" thickBot="1" x14ac:dyDescent="0.3">
      <c r="A53" s="142">
        <v>37</v>
      </c>
      <c r="H53">
        <f t="shared" si="6"/>
        <v>1655082.6771653541</v>
      </c>
    </row>
  </sheetData>
  <sheetProtection sheet="1" objects="1" scenarios="1" selectLockedCells="1"/>
  <mergeCells count="6">
    <mergeCell ref="C1:H1"/>
    <mergeCell ref="I1:I3"/>
    <mergeCell ref="C4:H4"/>
    <mergeCell ref="B14:D14"/>
    <mergeCell ref="E14:G14"/>
    <mergeCell ref="H14:J14"/>
  </mergeCells>
  <conditionalFormatting sqref="H3">
    <cfRule type="expression" priority="1">
      <formula>"ha($B$11&lt;&gt;12;""nincs"";)"</formula>
    </cfRule>
  </conditionalFormatting>
  <dataValidations xWindow="338" yWindow="433" count="9">
    <dataValidation type="list" allowBlank="1" showInputMessage="1" showErrorMessage="1" sqref="G3" xr:uid="{00000000-0002-0000-0100-000001000000}">
      <formula1>szöv</formula1>
    </dataValidation>
    <dataValidation type="list" allowBlank="1" showInputMessage="1" showErrorMessage="1" sqref="F3" xr:uid="{00000000-0002-0000-0100-000002000000}">
      <formula1>mikro</formula1>
    </dataValidation>
    <dataValidation type="list" allowBlank="1" showInputMessage="1" showErrorMessage="1" sqref="E3" xr:uid="{00000000-0002-0000-0100-000003000000}">
      <formula1>éjszakai</formula1>
    </dataValidation>
    <dataValidation type="list" allowBlank="1" showInputMessage="1" showErrorMessage="1" errorTitle="Listaelem" promptTitle="Korlátozás" prompt="Válasszon össztömeget" sqref="C11:D12" xr:uid="{00000000-0002-0000-0100-000006000000}">
      <formula1>baba</formula1>
    </dataValidation>
    <dataValidation type="whole" allowBlank="1" errorTitle="Egész szám" error="Ez nem egész szám_x000a_" promptTitle="Éves díj mértéke" prompt="Csak egész szám adható meg" sqref="B3" xr:uid="{00000000-0002-0000-0100-000007000000}">
      <formula1>1</formula1>
      <formula2>100000000</formula2>
    </dataValidation>
    <dataValidation type="whole" allowBlank="1" showInputMessage="1" showErrorMessage="1" errorTitle="Napok száma" error="Az értéknek 1 és 365 között kell lennie." promptTitle="Napok száma" prompt="1-365 nap adható meg" sqref="B2" xr:uid="{00000000-0002-0000-0100-000008000000}">
      <formula1>1</formula1>
      <formula2>365</formula2>
    </dataValidation>
    <dataValidation type="list" allowBlank="1" showInputMessage="1" showErrorMessage="1" sqref="K15" xr:uid="{83C3AF98-FE49-4DE2-BC20-207D6E9128C9}">
      <formula1>#REF!</formula1>
    </dataValidation>
    <dataValidation type="list" allowBlank="1" showInputMessage="1" showErrorMessage="1" errorTitle="Listaelem" promptTitle="Korlátozás" prompt="Válasszon övezeti korlátozást!" sqref="B10" xr:uid="{C6175F06-290C-41DC-8F2A-78B5639335E1}">
      <formula1>baba</formula1>
    </dataValidation>
    <dataValidation type="whole" allowBlank="1" showInputMessage="1" showErrorMessage="1" errorTitle="Gépjármű össztömege tonnában" error="A gépjármű össtömege nem haladja meg a korlátozást!_x000a_" promptTitle="Gépjármű össztömege ( kg)" prompt="Gépjármű össztömege tonnában" sqref="B11" xr:uid="{00000000-0002-0000-0100-000009000000}">
      <formula1>B10*1000+1</formula1>
      <formula2>40000</formula2>
    </dataValidation>
  </dataValidations>
  <pageMargins left="0.7" right="0.7" top="0.75" bottom="0.75" header="0.3" footer="0.3"/>
  <pageSetup paperSize="9" orientation="portrait" horizontalDpi="4294967292" r:id="rId1"/>
  <extLst>
    <ext xmlns:x14="http://schemas.microsoft.com/office/spreadsheetml/2009/9/main" uri="{CCE6A557-97BC-4b89-ADB6-D9C93CAAB3DF}">
      <x14:dataValidations xmlns:xm="http://schemas.microsoft.com/office/excel/2006/main" xWindow="338" yWindow="433" count="3">
        <x14:dataValidation type="list" allowBlank="1" showInputMessage="1" showErrorMessage="1" xr:uid="{00000000-0002-0000-0100-000000000000}">
          <x14:formula1>
            <xm:f>Munka1!$J$2:$J$3</xm:f>
          </x14:formula1>
          <xm:sqref>H3</xm:sqref>
        </x14:dataValidation>
        <x14:dataValidation type="list" allowBlank="1" showInputMessage="1" showErrorMessage="1" xr:uid="{00000000-0002-0000-0100-000005000000}">
          <x14:formula1>
            <xm:f>Munka1!$D$2:$D$23</xm:f>
          </x14:formula1>
          <xm:sqref>C3</xm:sqref>
        </x14:dataValidation>
        <x14:dataValidation type="whole" allowBlank="1" showInputMessage="1" showErrorMessage="1" errorTitle="Hiba" error="A gyártási év nem haladhatja meg az idei évet és nem lehet kisebb 1886-nál_x000a_" promptTitle="Gépjármű ggyártási éve" prompt="év" xr:uid="{0BD38729-539E-4C43-8511-A95DC2405828}">
          <x14:formula1>
            <xm:f>1886</xm:f>
          </x14:formula1>
          <x14:formula2>
            <xm:f>Munka1!M1</xm:f>
          </x14:formula2>
          <xm:sqref>B12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4"/>
  <dimension ref="A1:H21"/>
  <sheetViews>
    <sheetView workbookViewId="0">
      <selection activeCell="G31" sqref="G31"/>
    </sheetView>
  </sheetViews>
  <sheetFormatPr defaultRowHeight="12.5" x14ac:dyDescent="0.25"/>
  <cols>
    <col min="1" max="1" width="20.453125" bestFit="1" customWidth="1"/>
    <col min="2" max="2" width="12.1796875" customWidth="1"/>
    <col min="5" max="5" width="9.1796875" style="149"/>
    <col min="6" max="6" width="9.1796875" style="146"/>
    <col min="7" max="7" width="25.81640625" style="109" bestFit="1" customWidth="1"/>
    <col min="8" max="8" width="44.54296875" bestFit="1" customWidth="1"/>
  </cols>
  <sheetData>
    <row r="1" spans="1:8" ht="15.5" x14ac:dyDescent="0.35">
      <c r="A1" s="147" t="s">
        <v>75</v>
      </c>
      <c r="B1" s="148" t="s">
        <v>61</v>
      </c>
      <c r="E1" s="150">
        <v>0</v>
      </c>
      <c r="F1" s="151" t="s">
        <v>61</v>
      </c>
      <c r="G1" s="154">
        <v>0</v>
      </c>
    </row>
    <row r="2" spans="1:8" ht="15.5" x14ac:dyDescent="0.35">
      <c r="A2" s="147" t="s">
        <v>76</v>
      </c>
      <c r="B2" s="148" t="s">
        <v>61</v>
      </c>
      <c r="E2" s="150">
        <v>1</v>
      </c>
      <c r="F2" s="151" t="s">
        <v>61</v>
      </c>
      <c r="G2" s="154">
        <v>1</v>
      </c>
    </row>
    <row r="3" spans="1:8" ht="15.5" x14ac:dyDescent="0.35">
      <c r="A3" s="147" t="s">
        <v>77</v>
      </c>
      <c r="B3" s="148">
        <v>-0.2</v>
      </c>
      <c r="E3" s="150">
        <v>2</v>
      </c>
      <c r="F3" s="151" t="s">
        <v>61</v>
      </c>
      <c r="G3" s="154">
        <v>1</v>
      </c>
    </row>
    <row r="4" spans="1:8" ht="15.5" x14ac:dyDescent="0.35">
      <c r="A4" s="147" t="s">
        <v>78</v>
      </c>
      <c r="B4" s="148">
        <v>-0.1</v>
      </c>
      <c r="E4" s="150">
        <v>3</v>
      </c>
      <c r="F4" s="151" t="s">
        <v>61</v>
      </c>
      <c r="G4" s="154">
        <v>1</v>
      </c>
    </row>
    <row r="5" spans="1:8" ht="15.5" x14ac:dyDescent="0.35">
      <c r="A5" s="147" t="s">
        <v>79</v>
      </c>
      <c r="B5" s="148">
        <v>0</v>
      </c>
      <c r="E5" s="150">
        <v>4</v>
      </c>
      <c r="F5" s="151">
        <v>-0.2</v>
      </c>
      <c r="G5" s="154">
        <v>2</v>
      </c>
    </row>
    <row r="6" spans="1:8" ht="15.5" x14ac:dyDescent="0.35">
      <c r="A6" s="147" t="s">
        <v>80</v>
      </c>
      <c r="B6" s="148">
        <v>0.3</v>
      </c>
      <c r="E6" s="150">
        <v>5</v>
      </c>
      <c r="F6" s="151">
        <v>0</v>
      </c>
      <c r="G6" s="154" t="s">
        <v>81</v>
      </c>
      <c r="H6" t="s">
        <v>82</v>
      </c>
    </row>
    <row r="7" spans="1:8" ht="15.5" x14ac:dyDescent="0.35">
      <c r="A7" s="147" t="s">
        <v>83</v>
      </c>
      <c r="B7" s="148">
        <v>1</v>
      </c>
      <c r="E7" s="150" t="s">
        <v>84</v>
      </c>
      <c r="F7" s="151">
        <v>1</v>
      </c>
      <c r="G7" s="154" t="s">
        <v>85</v>
      </c>
    </row>
    <row r="8" spans="1:8" x14ac:dyDescent="0.25">
      <c r="E8" s="150" t="s">
        <v>86</v>
      </c>
      <c r="F8" s="151">
        <v>0.3</v>
      </c>
      <c r="G8" s="154" t="s">
        <v>87</v>
      </c>
    </row>
    <row r="9" spans="1:8" x14ac:dyDescent="0.25">
      <c r="E9" s="150" t="s">
        <v>88</v>
      </c>
      <c r="F9" s="151">
        <v>0.3</v>
      </c>
      <c r="G9" s="154" t="s">
        <v>87</v>
      </c>
    </row>
    <row r="10" spans="1:8" x14ac:dyDescent="0.25">
      <c r="E10" s="150" t="s">
        <v>89</v>
      </c>
      <c r="F10" s="151">
        <v>1</v>
      </c>
      <c r="G10" s="154" t="s">
        <v>90</v>
      </c>
    </row>
    <row r="11" spans="1:8" x14ac:dyDescent="0.25">
      <c r="E11" s="150">
        <v>6</v>
      </c>
      <c r="F11" s="151">
        <v>-0.1</v>
      </c>
      <c r="G11" s="154">
        <v>3</v>
      </c>
    </row>
    <row r="12" spans="1:8" x14ac:dyDescent="0.25">
      <c r="E12" s="150">
        <v>7</v>
      </c>
      <c r="F12" s="151">
        <v>-0.1</v>
      </c>
      <c r="G12" s="154">
        <v>3</v>
      </c>
    </row>
    <row r="13" spans="1:8" x14ac:dyDescent="0.25">
      <c r="E13" s="150">
        <v>8</v>
      </c>
      <c r="F13" s="151">
        <v>-0.1</v>
      </c>
      <c r="G13" s="154">
        <v>3</v>
      </c>
    </row>
    <row r="14" spans="1:8" x14ac:dyDescent="0.25">
      <c r="E14" s="150">
        <v>9</v>
      </c>
      <c r="F14" s="151">
        <v>0</v>
      </c>
      <c r="G14" s="154">
        <v>4</v>
      </c>
    </row>
    <row r="15" spans="1:8" x14ac:dyDescent="0.25">
      <c r="E15" s="150">
        <v>10</v>
      </c>
      <c r="F15" s="151">
        <v>0</v>
      </c>
      <c r="G15" s="154">
        <v>4</v>
      </c>
    </row>
    <row r="16" spans="1:8" x14ac:dyDescent="0.25">
      <c r="E16" s="150">
        <v>11</v>
      </c>
      <c r="F16" s="151">
        <v>0</v>
      </c>
      <c r="G16" s="154">
        <v>4</v>
      </c>
    </row>
    <row r="17" spans="5:7" x14ac:dyDescent="0.25">
      <c r="E17" s="150">
        <v>12</v>
      </c>
      <c r="F17" s="151">
        <v>0.3</v>
      </c>
      <c r="G17" s="154">
        <v>5</v>
      </c>
    </row>
    <row r="18" spans="5:7" x14ac:dyDescent="0.25">
      <c r="E18" s="150">
        <v>13</v>
      </c>
      <c r="F18" s="151">
        <v>0.3</v>
      </c>
      <c r="G18" s="154">
        <v>5</v>
      </c>
    </row>
    <row r="19" spans="5:7" x14ac:dyDescent="0.25">
      <c r="E19" s="150">
        <v>14</v>
      </c>
      <c r="F19" s="151">
        <v>0.3</v>
      </c>
      <c r="G19" s="154">
        <v>5</v>
      </c>
    </row>
    <row r="20" spans="5:7" x14ac:dyDescent="0.25">
      <c r="E20" s="150">
        <v>15</v>
      </c>
      <c r="F20" s="151">
        <v>0.3</v>
      </c>
      <c r="G20" s="154">
        <v>6</v>
      </c>
    </row>
    <row r="21" spans="5:7" x14ac:dyDescent="0.25">
      <c r="E21" s="150">
        <v>16</v>
      </c>
      <c r="F21" s="151">
        <v>0.3</v>
      </c>
      <c r="G21" s="154">
        <v>6</v>
      </c>
    </row>
  </sheetData>
  <phoneticPr fontId="26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H170"/>
  <sheetViews>
    <sheetView topLeftCell="A25" zoomScaleNormal="100" zoomScaleSheetLayoutView="40" workbookViewId="0">
      <selection activeCell="B78" sqref="B78"/>
    </sheetView>
  </sheetViews>
  <sheetFormatPr defaultRowHeight="12.5" x14ac:dyDescent="0.25"/>
  <cols>
    <col min="1" max="1" width="25" bestFit="1" customWidth="1"/>
    <col min="2" max="2" width="30.1796875" customWidth="1"/>
    <col min="3" max="5" width="20.81640625" bestFit="1" customWidth="1"/>
    <col min="6" max="7" width="20.1796875" bestFit="1" customWidth="1"/>
    <col min="8" max="8" width="21.7265625" customWidth="1"/>
  </cols>
  <sheetData>
    <row r="1" spans="1:8" ht="69" customHeight="1" thickTop="1" thickBot="1" x14ac:dyDescent="0.3">
      <c r="A1" s="310" t="s">
        <v>91</v>
      </c>
      <c r="B1" s="311"/>
      <c r="C1" s="311"/>
      <c r="D1" s="311"/>
      <c r="E1" s="311"/>
      <c r="F1" s="311"/>
      <c r="G1" s="311"/>
      <c r="H1" s="312"/>
    </row>
    <row r="2" spans="1:8" ht="34.5" customHeight="1" thickBot="1" x14ac:dyDescent="0.3">
      <c r="A2" s="313" t="s">
        <v>92</v>
      </c>
      <c r="B2" s="314"/>
      <c r="C2" s="314"/>
      <c r="D2" s="314"/>
      <c r="E2" s="314"/>
      <c r="F2" s="314"/>
      <c r="G2" s="314"/>
      <c r="H2" s="315"/>
    </row>
    <row r="3" spans="1:8" ht="117" customHeight="1" thickBot="1" x14ac:dyDescent="0.3">
      <c r="A3" s="316" t="s">
        <v>93</v>
      </c>
      <c r="B3" s="317"/>
      <c r="C3" s="317"/>
      <c r="D3" s="317"/>
      <c r="E3" s="317"/>
      <c r="F3" s="317"/>
      <c r="G3" s="317"/>
      <c r="H3" s="318"/>
    </row>
    <row r="4" spans="1:8" ht="31.75" customHeight="1" thickBot="1" x14ac:dyDescent="0.3">
      <c r="A4" s="319" t="s">
        <v>40</v>
      </c>
      <c r="B4" s="320"/>
      <c r="C4" s="320"/>
      <c r="D4" s="320"/>
      <c r="E4" s="320"/>
      <c r="F4" s="320"/>
      <c r="G4" s="320"/>
      <c r="H4" s="321"/>
    </row>
    <row r="5" spans="1:8" ht="16.5" thickTop="1" thickBot="1" x14ac:dyDescent="0.4">
      <c r="A5" s="63"/>
      <c r="B5" s="64"/>
      <c r="C5" s="64"/>
      <c r="D5" s="64"/>
      <c r="E5" s="64"/>
      <c r="F5" s="64"/>
      <c r="G5" s="64"/>
      <c r="H5" s="65"/>
    </row>
    <row r="6" spans="1:8" ht="16" thickBot="1" x14ac:dyDescent="0.4">
      <c r="A6" s="66">
        <v>1</v>
      </c>
      <c r="H6" s="67"/>
    </row>
    <row r="7" spans="1:8" ht="15.5" thickBot="1" x14ac:dyDescent="0.3">
      <c r="A7" s="327" t="s">
        <v>94</v>
      </c>
      <c r="B7" s="322" t="s">
        <v>95</v>
      </c>
      <c r="C7" s="324" t="s">
        <v>96</v>
      </c>
      <c r="D7" s="325"/>
      <c r="E7" s="325"/>
      <c r="F7" s="325"/>
      <c r="G7" s="325"/>
      <c r="H7" s="326"/>
    </row>
    <row r="8" spans="1:8" ht="15.5" thickBot="1" x14ac:dyDescent="0.3">
      <c r="A8" s="328"/>
      <c r="B8" s="323"/>
      <c r="C8" s="68" t="s">
        <v>97</v>
      </c>
      <c r="D8" s="68" t="s">
        <v>98</v>
      </c>
      <c r="E8" s="68" t="s">
        <v>99</v>
      </c>
      <c r="F8" s="68" t="s">
        <v>100</v>
      </c>
      <c r="G8" s="68" t="s">
        <v>101</v>
      </c>
      <c r="H8" s="69" t="s">
        <v>102</v>
      </c>
    </row>
    <row r="9" spans="1:8" ht="15.5" thickBot="1" x14ac:dyDescent="0.3">
      <c r="A9" s="70" t="s">
        <v>103</v>
      </c>
      <c r="B9" s="71"/>
      <c r="C9" s="72" t="s">
        <v>104</v>
      </c>
      <c r="D9" s="72" t="s">
        <v>104</v>
      </c>
      <c r="E9" s="72" t="s">
        <v>104</v>
      </c>
      <c r="F9" s="72" t="s">
        <v>104</v>
      </c>
      <c r="G9" s="72" t="s">
        <v>104</v>
      </c>
      <c r="H9" s="73" t="s">
        <v>104</v>
      </c>
    </row>
    <row r="10" spans="1:8" ht="15.5" thickBot="1" x14ac:dyDescent="0.3">
      <c r="A10" s="70" t="s">
        <v>105</v>
      </c>
      <c r="B10" s="71" t="e">
        <f>bkva*1.5*480/365*'védett övezet árak '!$A6</f>
        <v>#REF!</v>
      </c>
      <c r="C10" s="71" t="e">
        <f>bkva*3*480/365*'védett övezet árak '!$A6</f>
        <v>#REF!</v>
      </c>
      <c r="D10" s="71" t="e">
        <f>bkva*3*480/365*'védett övezet árak '!$A6</f>
        <v>#REF!</v>
      </c>
      <c r="E10" s="71"/>
      <c r="F10" s="71"/>
      <c r="G10" s="71"/>
      <c r="H10" s="71"/>
    </row>
    <row r="11" spans="1:8" ht="15.5" thickBot="1" x14ac:dyDescent="0.3">
      <c r="A11" s="70" t="s">
        <v>106</v>
      </c>
      <c r="B11" s="71" t="e">
        <f>bkva*1.5*480/365*'védett övezet árak '!$A6</f>
        <v>#REF!</v>
      </c>
      <c r="C11" s="71" t="e">
        <f>bkva*3*480/365*'védett övezet árak '!$A6</f>
        <v>#REF!</v>
      </c>
      <c r="D11" s="71" t="e">
        <f>bkva*3*480/365*'védett övezet árak '!$A6</f>
        <v>#REF!</v>
      </c>
      <c r="E11" s="71"/>
      <c r="F11" s="71"/>
      <c r="G11" s="71"/>
      <c r="H11" s="71"/>
    </row>
    <row r="12" spans="1:8" ht="15.5" thickBot="1" x14ac:dyDescent="0.3">
      <c r="A12" s="70" t="s">
        <v>107</v>
      </c>
      <c r="B12" s="71" t="e">
        <f>bkva*1.5*576/365*'védett övezet árak '!$A6</f>
        <v>#REF!</v>
      </c>
      <c r="C12" s="71" t="e">
        <f>bkva*3*576/365*'védett övezet árak '!$A6</f>
        <v>#REF!</v>
      </c>
      <c r="D12" s="71" t="e">
        <f>bkva*3*576/365*'védett övezet árak '!$A6</f>
        <v>#REF!</v>
      </c>
      <c r="E12" s="71"/>
      <c r="F12" s="71"/>
      <c r="G12" s="71"/>
      <c r="H12" s="71"/>
    </row>
    <row r="13" spans="1:8" ht="15.5" thickBot="1" x14ac:dyDescent="0.3">
      <c r="A13" s="70" t="s">
        <v>108</v>
      </c>
      <c r="B13" s="71" t="e">
        <f>bkva*1.5*3650/365*'védett övezet árak '!$A6</f>
        <v>#REF!</v>
      </c>
      <c r="C13" s="71" t="e">
        <f>bkva*3*3650/365*'védett övezet árak '!$A6</f>
        <v>#REF!</v>
      </c>
      <c r="D13" s="71" t="e">
        <f>bkva*3*3650/365*'védett övezet árak '!$A6</f>
        <v>#REF!</v>
      </c>
      <c r="E13" s="71" t="e">
        <f>bkva*4.35*3650/365*'védett övezet árak '!$A6</f>
        <v>#REF!</v>
      </c>
      <c r="F13" s="71" t="e">
        <f>bkva*4.5*3650/365*'védett övezet árak '!$A6</f>
        <v>#REF!</v>
      </c>
      <c r="G13" s="71" t="e">
        <f>bkva*4.5*3650/365*'védett övezet árak '!$A6</f>
        <v>#REF!</v>
      </c>
      <c r="H13" s="71" t="e">
        <f>bkva*9*3650/365*'védett övezet árak '!$A6</f>
        <v>#REF!</v>
      </c>
    </row>
    <row r="14" spans="1:8" ht="13" thickBot="1" x14ac:dyDescent="0.3">
      <c r="A14" s="74"/>
      <c r="B14" s="75"/>
      <c r="C14" s="75"/>
      <c r="D14" s="75"/>
      <c r="E14" s="75"/>
      <c r="F14" s="75"/>
      <c r="G14" s="75"/>
      <c r="H14" s="76"/>
    </row>
    <row r="15" spans="1:8" ht="16" thickBot="1" x14ac:dyDescent="0.3">
      <c r="A15" s="77">
        <v>7</v>
      </c>
      <c r="B15" s="75"/>
      <c r="C15" s="75"/>
      <c r="D15" s="75"/>
      <c r="E15" s="75"/>
      <c r="F15" s="75"/>
      <c r="G15" s="75"/>
      <c r="H15" s="76"/>
    </row>
    <row r="16" spans="1:8" ht="15.5" thickBot="1" x14ac:dyDescent="0.3">
      <c r="A16" s="327" t="s">
        <v>94</v>
      </c>
      <c r="B16" s="322" t="s">
        <v>95</v>
      </c>
      <c r="C16" s="324" t="s">
        <v>96</v>
      </c>
      <c r="D16" s="325"/>
      <c r="E16" s="325"/>
      <c r="F16" s="325"/>
      <c r="G16" s="325"/>
      <c r="H16" s="326"/>
    </row>
    <row r="17" spans="1:8" ht="15.5" thickBot="1" x14ac:dyDescent="0.3">
      <c r="A17" s="328"/>
      <c r="B17" s="323"/>
      <c r="C17" s="68" t="s">
        <v>97</v>
      </c>
      <c r="D17" s="68" t="s">
        <v>98</v>
      </c>
      <c r="E17" s="68" t="s">
        <v>99</v>
      </c>
      <c r="F17" s="68" t="s">
        <v>100</v>
      </c>
      <c r="G17" s="68" t="s">
        <v>101</v>
      </c>
      <c r="H17" s="69" t="s">
        <v>102</v>
      </c>
    </row>
    <row r="18" spans="1:8" ht="15.5" thickBot="1" x14ac:dyDescent="0.3">
      <c r="A18" s="70" t="s">
        <v>103</v>
      </c>
      <c r="B18" s="71"/>
      <c r="C18" s="72" t="s">
        <v>104</v>
      </c>
      <c r="D18" s="72" t="s">
        <v>104</v>
      </c>
      <c r="E18" s="72" t="s">
        <v>104</v>
      </c>
      <c r="F18" s="72" t="s">
        <v>104</v>
      </c>
      <c r="G18" s="72" t="s">
        <v>104</v>
      </c>
      <c r="H18" s="73" t="s">
        <v>104</v>
      </c>
    </row>
    <row r="19" spans="1:8" ht="15.5" thickBot="1" x14ac:dyDescent="0.3">
      <c r="A19" s="70" t="s">
        <v>105</v>
      </c>
      <c r="B19" s="71" t="e">
        <f>bkva*1.5*480/365*'védett övezet árak '!$A15</f>
        <v>#REF!</v>
      </c>
      <c r="C19" s="71" t="e">
        <f>bkva*3*480/365*'védett övezet árak '!$A15</f>
        <v>#REF!</v>
      </c>
      <c r="D19" s="71" t="e">
        <f>bkva*3*480/365*'védett övezet árak '!$A15</f>
        <v>#REF!</v>
      </c>
      <c r="E19" s="71"/>
      <c r="F19" s="71"/>
      <c r="G19" s="71"/>
      <c r="H19" s="71"/>
    </row>
    <row r="20" spans="1:8" ht="15.5" thickBot="1" x14ac:dyDescent="0.3">
      <c r="A20" s="70" t="s">
        <v>106</v>
      </c>
      <c r="B20" s="71" t="e">
        <f>bkva*1.5*480/365*'védett övezet árak '!$A15</f>
        <v>#REF!</v>
      </c>
      <c r="C20" s="71" t="e">
        <f>bkva*3*480/365*'védett övezet árak '!$A15</f>
        <v>#REF!</v>
      </c>
      <c r="D20" s="71" t="e">
        <f>bkva*3*480/365*'védett övezet árak '!$A15</f>
        <v>#REF!</v>
      </c>
      <c r="E20" s="71"/>
      <c r="F20" s="71"/>
      <c r="G20" s="71"/>
      <c r="H20" s="71"/>
    </row>
    <row r="21" spans="1:8" ht="15.5" thickBot="1" x14ac:dyDescent="0.3">
      <c r="A21" s="70" t="s">
        <v>107</v>
      </c>
      <c r="B21" s="71" t="e">
        <f>bkva*1.5*576/365*'védett övezet árak '!$A15</f>
        <v>#REF!</v>
      </c>
      <c r="C21" s="71" t="e">
        <f>bkva*3*576/365*'védett övezet árak '!$A15</f>
        <v>#REF!</v>
      </c>
      <c r="D21" s="71" t="e">
        <f>bkva*3*576/365*'védett övezet árak '!$A15</f>
        <v>#REF!</v>
      </c>
      <c r="E21" s="71"/>
      <c r="F21" s="71"/>
      <c r="G21" s="71"/>
      <c r="H21" s="71"/>
    </row>
    <row r="22" spans="1:8" ht="15.5" thickBot="1" x14ac:dyDescent="0.3">
      <c r="A22" s="70" t="s">
        <v>109</v>
      </c>
      <c r="B22" s="71" t="e">
        <f>bkva*1.5*3650/365*'védett övezet árak '!$A15</f>
        <v>#REF!</v>
      </c>
      <c r="C22" s="71" t="e">
        <f>bkva*3*3650/365*'védett övezet árak '!$A15</f>
        <v>#REF!</v>
      </c>
      <c r="D22" s="71" t="e">
        <f>bkva*3*3650/365*'védett övezet árak '!$A15</f>
        <v>#REF!</v>
      </c>
      <c r="E22" s="71" t="e">
        <f>bkva*4.35*3650/365*'védett övezet árak '!$A15</f>
        <v>#REF!</v>
      </c>
      <c r="F22" s="71" t="e">
        <f>bkva*4.5*3650/365*'védett övezet árak '!$A15</f>
        <v>#REF!</v>
      </c>
      <c r="G22" s="71" t="e">
        <f>bkva*4.5*3650/365*'védett övezet árak '!$A15</f>
        <v>#REF!</v>
      </c>
      <c r="H22" s="71" t="e">
        <f>bkva*9*3650/365*'védett övezet árak '!$A15</f>
        <v>#REF!</v>
      </c>
    </row>
    <row r="23" spans="1:8" ht="13" thickBot="1" x14ac:dyDescent="0.3">
      <c r="A23" s="74"/>
      <c r="B23" s="75"/>
      <c r="C23" s="75"/>
      <c r="D23" s="75"/>
      <c r="E23" s="75"/>
      <c r="F23" s="75"/>
      <c r="G23" s="75"/>
      <c r="H23" s="76"/>
    </row>
    <row r="24" spans="1:8" ht="16" thickBot="1" x14ac:dyDescent="0.3">
      <c r="A24" s="77">
        <v>30</v>
      </c>
      <c r="B24" s="75"/>
      <c r="C24" s="75"/>
      <c r="D24" s="75"/>
      <c r="E24" s="75"/>
      <c r="F24" s="75"/>
      <c r="G24" s="75"/>
      <c r="H24" s="76"/>
    </row>
    <row r="25" spans="1:8" ht="15.5" thickBot="1" x14ac:dyDescent="0.3">
      <c r="A25" s="327" t="s">
        <v>94</v>
      </c>
      <c r="B25" s="322" t="s">
        <v>95</v>
      </c>
      <c r="C25" s="324" t="s">
        <v>96</v>
      </c>
      <c r="D25" s="325"/>
      <c r="E25" s="325"/>
      <c r="F25" s="325"/>
      <c r="G25" s="325"/>
      <c r="H25" s="326"/>
    </row>
    <row r="26" spans="1:8" ht="15.5" thickBot="1" x14ac:dyDescent="0.3">
      <c r="A26" s="328"/>
      <c r="B26" s="323"/>
      <c r="C26" s="68" t="s">
        <v>97</v>
      </c>
      <c r="D26" s="68" t="s">
        <v>98</v>
      </c>
      <c r="E26" s="68" t="s">
        <v>99</v>
      </c>
      <c r="F26" s="68" t="s">
        <v>100</v>
      </c>
      <c r="G26" s="68" t="s">
        <v>101</v>
      </c>
      <c r="H26" s="69" t="s">
        <v>102</v>
      </c>
    </row>
    <row r="27" spans="1:8" ht="15.5" thickBot="1" x14ac:dyDescent="0.3">
      <c r="A27" s="70" t="s">
        <v>103</v>
      </c>
      <c r="B27" s="71"/>
      <c r="C27" s="72" t="s">
        <v>104</v>
      </c>
      <c r="D27" s="72" t="s">
        <v>104</v>
      </c>
      <c r="E27" s="72" t="s">
        <v>104</v>
      </c>
      <c r="F27" s="72" t="s">
        <v>104</v>
      </c>
      <c r="G27" s="72" t="s">
        <v>104</v>
      </c>
      <c r="H27" s="73" t="s">
        <v>104</v>
      </c>
    </row>
    <row r="28" spans="1:8" ht="15.5" thickBot="1" x14ac:dyDescent="0.3">
      <c r="A28" s="70" t="s">
        <v>105</v>
      </c>
      <c r="B28" s="71" t="e">
        <f>bkva*1.5*480/365*'védett övezet árak '!$A24</f>
        <v>#REF!</v>
      </c>
      <c r="C28" s="71" t="e">
        <f>bkva*3*480/365*'védett övezet árak '!$A24</f>
        <v>#REF!</v>
      </c>
      <c r="D28" s="71" t="e">
        <f>bkva*3*480/365*'védett övezet árak '!$A24</f>
        <v>#REF!</v>
      </c>
      <c r="E28" s="71"/>
      <c r="F28" s="71"/>
      <c r="G28" s="71"/>
      <c r="H28" s="71"/>
    </row>
    <row r="29" spans="1:8" ht="15.5" thickBot="1" x14ac:dyDescent="0.3">
      <c r="A29" s="70" t="s">
        <v>106</v>
      </c>
      <c r="B29" s="71" t="e">
        <f>bkva*1.5*480/365*'védett övezet árak '!$A24</f>
        <v>#REF!</v>
      </c>
      <c r="C29" s="71" t="e">
        <f>bkva*3*480/365*'védett övezet árak '!$A24</f>
        <v>#REF!</v>
      </c>
      <c r="D29" s="71" t="e">
        <f>bkva*3*480/365*'védett övezet árak '!$A24</f>
        <v>#REF!</v>
      </c>
      <c r="E29" s="71"/>
      <c r="F29" s="71"/>
      <c r="G29" s="71"/>
      <c r="H29" s="71"/>
    </row>
    <row r="30" spans="1:8" ht="15.5" thickBot="1" x14ac:dyDescent="0.3">
      <c r="A30" s="70" t="s">
        <v>107</v>
      </c>
      <c r="B30" s="71" t="e">
        <f>bkva*1.5*576/365*'védett övezet árak '!$A24</f>
        <v>#REF!</v>
      </c>
      <c r="C30" s="71" t="e">
        <f>bkva*3*576/365*'védett övezet árak '!$A24</f>
        <v>#REF!</v>
      </c>
      <c r="D30" s="71" t="e">
        <f>bkva*3*576/365*'védett övezet árak '!$A24</f>
        <v>#REF!</v>
      </c>
      <c r="E30" s="71"/>
      <c r="F30" s="71"/>
      <c r="G30" s="71"/>
      <c r="H30" s="71"/>
    </row>
    <row r="31" spans="1:8" ht="15.5" thickBot="1" x14ac:dyDescent="0.3">
      <c r="A31" s="70" t="s">
        <v>109</v>
      </c>
      <c r="B31" s="71" t="e">
        <f>bkva*1.5*3650/365*'védett övezet árak '!$A24</f>
        <v>#REF!</v>
      </c>
      <c r="C31" s="71" t="e">
        <f>bkva*3*3650/365*'védett övezet árak '!$A24</f>
        <v>#REF!</v>
      </c>
      <c r="D31" s="71" t="e">
        <f>bkva*3*3650/365*'védett övezet árak '!$A24</f>
        <v>#REF!</v>
      </c>
      <c r="E31" s="71" t="e">
        <f>bkva*4.35*3650/365*'védett övezet árak '!$A24</f>
        <v>#REF!</v>
      </c>
      <c r="F31" s="71" t="e">
        <f>bkva*4.5*3650/365*'védett övezet árak '!$A24</f>
        <v>#REF!</v>
      </c>
      <c r="G31" s="71" t="e">
        <f>bkva*4.5*3650/365*'védett övezet árak '!$A24</f>
        <v>#REF!</v>
      </c>
      <c r="H31" s="71" t="e">
        <f>bkva*9*3650/365*'védett övezet árak '!$A24</f>
        <v>#REF!</v>
      </c>
    </row>
    <row r="32" spans="1:8" ht="13" thickBot="1" x14ac:dyDescent="0.3">
      <c r="A32" s="74"/>
      <c r="B32" s="75"/>
      <c r="C32" s="75"/>
      <c r="D32" s="75"/>
      <c r="E32" s="75"/>
      <c r="F32" s="75"/>
      <c r="G32" s="75"/>
      <c r="H32" s="76"/>
    </row>
    <row r="33" spans="1:8" ht="16" thickBot="1" x14ac:dyDescent="0.3">
      <c r="A33" s="77">
        <v>180</v>
      </c>
      <c r="B33" s="75"/>
      <c r="C33" s="75"/>
      <c r="D33" s="75"/>
      <c r="E33" s="75"/>
      <c r="F33" s="75"/>
      <c r="G33" s="75"/>
      <c r="H33" s="76"/>
    </row>
    <row r="34" spans="1:8" ht="15.5" thickBot="1" x14ac:dyDescent="0.3">
      <c r="A34" s="327" t="s">
        <v>94</v>
      </c>
      <c r="B34" s="322" t="s">
        <v>95</v>
      </c>
      <c r="C34" s="324" t="s">
        <v>96</v>
      </c>
      <c r="D34" s="325"/>
      <c r="E34" s="325"/>
      <c r="F34" s="325"/>
      <c r="G34" s="325"/>
      <c r="H34" s="326"/>
    </row>
    <row r="35" spans="1:8" ht="15.5" thickBot="1" x14ac:dyDescent="0.3">
      <c r="A35" s="328"/>
      <c r="B35" s="323"/>
      <c r="C35" s="68" t="s">
        <v>97</v>
      </c>
      <c r="D35" s="68" t="s">
        <v>98</v>
      </c>
      <c r="E35" s="68" t="s">
        <v>99</v>
      </c>
      <c r="F35" s="68" t="s">
        <v>100</v>
      </c>
      <c r="G35" s="68" t="s">
        <v>101</v>
      </c>
      <c r="H35" s="69" t="s">
        <v>102</v>
      </c>
    </row>
    <row r="36" spans="1:8" ht="15.5" thickBot="1" x14ac:dyDescent="0.3">
      <c r="A36" s="70" t="s">
        <v>103</v>
      </c>
      <c r="B36" s="71"/>
      <c r="C36" s="72" t="s">
        <v>104</v>
      </c>
      <c r="D36" s="72" t="s">
        <v>104</v>
      </c>
      <c r="E36" s="72" t="s">
        <v>104</v>
      </c>
      <c r="F36" s="72" t="s">
        <v>104</v>
      </c>
      <c r="G36" s="72" t="s">
        <v>104</v>
      </c>
      <c r="H36" s="73" t="s">
        <v>104</v>
      </c>
    </row>
    <row r="37" spans="1:8" ht="15.5" thickBot="1" x14ac:dyDescent="0.3">
      <c r="A37" s="70" t="s">
        <v>105</v>
      </c>
      <c r="B37" s="71" t="e">
        <f>bkva*1.5*480/365*'védett övezet árak '!$A33</f>
        <v>#REF!</v>
      </c>
      <c r="C37" s="71" t="e">
        <f>bkva*3*480/365*'védett övezet árak '!$A33</f>
        <v>#REF!</v>
      </c>
      <c r="D37" s="71" t="e">
        <f>bkva*3*480/365*'védett övezet árak '!$A33</f>
        <v>#REF!</v>
      </c>
      <c r="E37" s="71"/>
      <c r="F37" s="71"/>
      <c r="G37" s="71"/>
      <c r="H37" s="71"/>
    </row>
    <row r="38" spans="1:8" ht="15.5" thickBot="1" x14ac:dyDescent="0.3">
      <c r="A38" s="70" t="s">
        <v>106</v>
      </c>
      <c r="B38" s="71" t="e">
        <f>bkva*1.5*480/365*'védett övezet árak '!$A33</f>
        <v>#REF!</v>
      </c>
      <c r="C38" s="71" t="e">
        <f>bkva*3*480/365*'védett övezet árak '!$A33</f>
        <v>#REF!</v>
      </c>
      <c r="D38" s="71" t="e">
        <f>bkva*3*480/365*'védett övezet árak '!$A33</f>
        <v>#REF!</v>
      </c>
      <c r="E38" s="71"/>
      <c r="F38" s="71"/>
      <c r="G38" s="71"/>
      <c r="H38" s="71"/>
    </row>
    <row r="39" spans="1:8" ht="15.5" thickBot="1" x14ac:dyDescent="0.3">
      <c r="A39" s="70" t="s">
        <v>107</v>
      </c>
      <c r="B39" s="71" t="e">
        <f>bkva*1.5*576/365*'védett övezet árak '!$A33</f>
        <v>#REF!</v>
      </c>
      <c r="C39" s="71" t="e">
        <f>bkva*3*576/365*'védett övezet árak '!$A33</f>
        <v>#REF!</v>
      </c>
      <c r="D39" s="71" t="e">
        <f>bkva*3*576/365*'védett övezet árak '!$A33</f>
        <v>#REF!</v>
      </c>
      <c r="E39" s="71"/>
      <c r="F39" s="71"/>
      <c r="G39" s="71"/>
      <c r="H39" s="71"/>
    </row>
    <row r="40" spans="1:8" ht="15.5" thickBot="1" x14ac:dyDescent="0.3">
      <c r="A40" s="70" t="s">
        <v>109</v>
      </c>
      <c r="B40" s="71" t="e">
        <f>bkva*1.5*3650/365*'védett övezet árak '!$A33</f>
        <v>#REF!</v>
      </c>
      <c r="C40" s="71" t="e">
        <f>bkva*3*3650/365*'védett övezet árak '!$A33</f>
        <v>#REF!</v>
      </c>
      <c r="D40" s="71" t="e">
        <f>bkva*3*3650/365*'védett övezet árak '!$A33</f>
        <v>#REF!</v>
      </c>
      <c r="E40" s="71" t="e">
        <f>bkva*4.35*3650/365*'védett övezet árak '!$A33</f>
        <v>#REF!</v>
      </c>
      <c r="F40" s="71" t="e">
        <f>bkva*4.5*3650/365*'védett övezet árak '!$A33</f>
        <v>#REF!</v>
      </c>
      <c r="G40" s="71" t="e">
        <f>bkva*4.5*3650/365*'védett övezet árak '!$A33</f>
        <v>#REF!</v>
      </c>
      <c r="H40" s="71" t="e">
        <f>bkva*9*3650/365*'védett övezet árak '!$A33</f>
        <v>#REF!</v>
      </c>
    </row>
    <row r="41" spans="1:8" ht="13" thickBot="1" x14ac:dyDescent="0.3">
      <c r="A41" s="74"/>
      <c r="B41" s="75"/>
      <c r="C41" s="75"/>
      <c r="D41" s="75"/>
      <c r="E41" s="75"/>
      <c r="F41" s="75"/>
      <c r="G41" s="75"/>
      <c r="H41" s="76"/>
    </row>
    <row r="42" spans="1:8" ht="16" thickBot="1" x14ac:dyDescent="0.3">
      <c r="A42" s="77">
        <v>360</v>
      </c>
      <c r="B42" s="75"/>
      <c r="C42" s="75"/>
      <c r="D42" s="75"/>
      <c r="E42" s="75"/>
      <c r="F42" s="75"/>
      <c r="G42" s="75"/>
      <c r="H42" s="76"/>
    </row>
    <row r="43" spans="1:8" ht="15.5" thickBot="1" x14ac:dyDescent="0.3">
      <c r="A43" s="327" t="s">
        <v>94</v>
      </c>
      <c r="B43" s="322" t="s">
        <v>95</v>
      </c>
      <c r="C43" s="324" t="s">
        <v>96</v>
      </c>
      <c r="D43" s="325"/>
      <c r="E43" s="325"/>
      <c r="F43" s="325"/>
      <c r="G43" s="325"/>
      <c r="H43" s="326"/>
    </row>
    <row r="44" spans="1:8" ht="15.5" thickBot="1" x14ac:dyDescent="0.3">
      <c r="A44" s="328"/>
      <c r="B44" s="323"/>
      <c r="C44" s="68" t="s">
        <v>97</v>
      </c>
      <c r="D44" s="68" t="s">
        <v>98</v>
      </c>
      <c r="E44" s="68" t="s">
        <v>99</v>
      </c>
      <c r="F44" s="68" t="s">
        <v>100</v>
      </c>
      <c r="G44" s="68" t="s">
        <v>101</v>
      </c>
      <c r="H44" s="69" t="s">
        <v>102</v>
      </c>
    </row>
    <row r="45" spans="1:8" ht="15.5" thickBot="1" x14ac:dyDescent="0.3">
      <c r="A45" s="70" t="s">
        <v>103</v>
      </c>
      <c r="B45" s="71"/>
      <c r="C45" s="72" t="s">
        <v>104</v>
      </c>
      <c r="D45" s="72" t="s">
        <v>104</v>
      </c>
      <c r="E45" s="72" t="s">
        <v>104</v>
      </c>
      <c r="F45" s="72" t="s">
        <v>104</v>
      </c>
      <c r="G45" s="72" t="s">
        <v>104</v>
      </c>
      <c r="H45" s="73" t="s">
        <v>104</v>
      </c>
    </row>
    <row r="46" spans="1:8" ht="15.5" thickBot="1" x14ac:dyDescent="0.3">
      <c r="A46" s="70" t="s">
        <v>105</v>
      </c>
      <c r="B46" s="71" t="e">
        <f>bkva*1.5*480/365*'védett övezet árak '!$A42</f>
        <v>#REF!</v>
      </c>
      <c r="C46" s="71" t="e">
        <f>bkva*3*480/365*'védett övezet árak '!$A42</f>
        <v>#REF!</v>
      </c>
      <c r="D46" s="71" t="e">
        <f>bkva*3*480/365*'védett övezet árak '!$A42</f>
        <v>#REF!</v>
      </c>
      <c r="E46" s="71"/>
      <c r="F46" s="71"/>
      <c r="G46" s="71"/>
      <c r="H46" s="71"/>
    </row>
    <row r="47" spans="1:8" ht="15.5" thickBot="1" x14ac:dyDescent="0.3">
      <c r="A47" s="70" t="s">
        <v>106</v>
      </c>
      <c r="B47" s="71" t="e">
        <f>bkva*1.5*480/365*'védett övezet árak '!$A42</f>
        <v>#REF!</v>
      </c>
      <c r="C47" s="71" t="e">
        <f>bkva*3*480/365*'védett övezet árak '!$A42</f>
        <v>#REF!</v>
      </c>
      <c r="D47" s="71" t="e">
        <f>bkva*3*480/365*'védett övezet árak '!$A42</f>
        <v>#REF!</v>
      </c>
      <c r="E47" s="71"/>
      <c r="F47" s="71"/>
      <c r="G47" s="71"/>
      <c r="H47" s="71"/>
    </row>
    <row r="48" spans="1:8" ht="15.5" thickBot="1" x14ac:dyDescent="0.3">
      <c r="A48" s="70" t="s">
        <v>107</v>
      </c>
      <c r="B48" s="71" t="e">
        <f>bkva*1.5*576/365*'védett övezet árak '!$A42</f>
        <v>#REF!</v>
      </c>
      <c r="C48" s="71" t="e">
        <f>bkva*3*576/365*'védett övezet árak '!$A42</f>
        <v>#REF!</v>
      </c>
      <c r="D48" s="71" t="e">
        <f>bkva*3*576/365*'védett övezet árak '!$A42</f>
        <v>#REF!</v>
      </c>
      <c r="E48" s="71"/>
      <c r="F48" s="71"/>
      <c r="G48" s="71"/>
      <c r="H48" s="71"/>
    </row>
    <row r="49" spans="1:8" ht="15.5" thickBot="1" x14ac:dyDescent="0.3">
      <c r="A49" s="70" t="s">
        <v>109</v>
      </c>
      <c r="B49" s="71" t="e">
        <f>bkva*1.5*3650/365*'védett övezet árak '!$A42</f>
        <v>#REF!</v>
      </c>
      <c r="C49" s="71" t="e">
        <f>bkva*3*3650/365*'védett övezet árak '!$A42</f>
        <v>#REF!</v>
      </c>
      <c r="D49" s="71" t="e">
        <f>bkva*3*3650/365*'védett övezet árak '!$A42</f>
        <v>#REF!</v>
      </c>
      <c r="E49" s="71" t="e">
        <f>bkva*4.35*3650/365*'védett övezet árak '!$A42</f>
        <v>#REF!</v>
      </c>
      <c r="F49" s="71" t="e">
        <f>bkva*4.5*3650/365*'védett övezet árak '!$A42</f>
        <v>#REF!</v>
      </c>
      <c r="G49" s="71" t="e">
        <f>bkva*4.5*3650/365*'védett övezet árak '!$A42</f>
        <v>#REF!</v>
      </c>
      <c r="H49" s="71" t="e">
        <f>bkva*9*3650/365*'védett övezet árak '!$A42</f>
        <v>#REF!</v>
      </c>
    </row>
    <row r="50" spans="1:8" x14ac:dyDescent="0.25">
      <c r="A50" s="75"/>
      <c r="B50" s="75"/>
      <c r="C50" s="75"/>
      <c r="D50" s="75"/>
      <c r="E50" s="75"/>
      <c r="F50" s="75"/>
      <c r="G50" s="75"/>
      <c r="H50" s="75"/>
    </row>
    <row r="51" spans="1:8" ht="13" thickBot="1" x14ac:dyDescent="0.3">
      <c r="A51" s="75"/>
      <c r="B51" s="75"/>
      <c r="C51" s="75"/>
      <c r="D51" s="75"/>
      <c r="E51" s="75"/>
      <c r="F51" s="75"/>
      <c r="G51" s="75"/>
      <c r="H51" s="75"/>
    </row>
    <row r="52" spans="1:8" ht="33" customHeight="1" thickTop="1" thickBot="1" x14ac:dyDescent="0.3">
      <c r="A52" s="336" t="s">
        <v>110</v>
      </c>
      <c r="B52" s="337"/>
      <c r="C52" s="337"/>
      <c r="D52" s="337"/>
      <c r="E52" s="337"/>
      <c r="F52" s="337"/>
      <c r="G52" s="337"/>
      <c r="H52" s="338"/>
    </row>
    <row r="53" spans="1:8" ht="16" thickBot="1" x14ac:dyDescent="0.3">
      <c r="A53" s="78">
        <v>1</v>
      </c>
      <c r="B53" s="75"/>
      <c r="C53" s="75"/>
      <c r="D53" s="75"/>
      <c r="E53" s="75"/>
      <c r="F53" s="75"/>
      <c r="G53" s="75"/>
      <c r="H53" s="76"/>
    </row>
    <row r="54" spans="1:8" ht="15.5" thickBot="1" x14ac:dyDescent="0.3">
      <c r="A54" s="329" t="s">
        <v>94</v>
      </c>
      <c r="B54" s="331" t="s">
        <v>95</v>
      </c>
      <c r="C54" s="333" t="s">
        <v>96</v>
      </c>
      <c r="D54" s="334"/>
      <c r="E54" s="334"/>
      <c r="F54" s="334"/>
      <c r="G54" s="334"/>
      <c r="H54" s="335"/>
    </row>
    <row r="55" spans="1:8" ht="15.5" thickBot="1" x14ac:dyDescent="0.3">
      <c r="A55" s="330"/>
      <c r="B55" s="332"/>
      <c r="C55" s="68" t="s">
        <v>97</v>
      </c>
      <c r="D55" s="68" t="s">
        <v>98</v>
      </c>
      <c r="E55" s="68" t="s">
        <v>99</v>
      </c>
      <c r="F55" s="68" t="s">
        <v>100</v>
      </c>
      <c r="G55" s="68" t="s">
        <v>101</v>
      </c>
      <c r="H55" s="69" t="s">
        <v>102</v>
      </c>
    </row>
    <row r="56" spans="1:8" ht="15.5" thickBot="1" x14ac:dyDescent="0.3">
      <c r="A56" s="70" t="s">
        <v>103</v>
      </c>
      <c r="B56" s="71"/>
      <c r="C56" s="72" t="s">
        <v>61</v>
      </c>
      <c r="D56" s="72" t="s">
        <v>61</v>
      </c>
      <c r="E56" s="72" t="s">
        <v>61</v>
      </c>
      <c r="F56" s="72" t="s">
        <v>61</v>
      </c>
      <c r="G56" s="72" t="s">
        <v>61</v>
      </c>
      <c r="H56" s="73" t="s">
        <v>61</v>
      </c>
    </row>
    <row r="57" spans="1:8" ht="15.5" thickBot="1" x14ac:dyDescent="0.3">
      <c r="A57" s="70" t="s">
        <v>105</v>
      </c>
      <c r="B57" s="71" t="e">
        <f>bkva*1.25*480/365*'védett övezet árak '!$A53</f>
        <v>#REF!</v>
      </c>
      <c r="C57" s="71" t="e">
        <f>bkva*2.5*480/365*'védett övezet árak '!$A53</f>
        <v>#REF!</v>
      </c>
      <c r="D57" s="71" t="e">
        <f>bkva*2.5*480/365*'védett övezet árak '!$A53</f>
        <v>#REF!</v>
      </c>
      <c r="E57" s="71" t="e">
        <f>bkva*3.75*480/365*'védett övezet árak '!$A53</f>
        <v>#REF!</v>
      </c>
      <c r="F57" s="71" t="e">
        <f>bkva*3.75*480/365*'védett övezet árak '!$A53</f>
        <v>#REF!</v>
      </c>
      <c r="G57" s="71" t="e">
        <f>bkva*3.75*480/365*'védett övezet árak '!$A53</f>
        <v>#REF!</v>
      </c>
      <c r="H57" s="71" t="e">
        <f>bkva*7.5*480/365*'védett övezet árak '!$A53</f>
        <v>#REF!</v>
      </c>
    </row>
    <row r="58" spans="1:8" ht="15.5" thickBot="1" x14ac:dyDescent="0.3">
      <c r="A58" s="70" t="s">
        <v>106</v>
      </c>
      <c r="B58" s="71" t="e">
        <f>bkva*1.25*480/365*'védett övezet árak '!$A53</f>
        <v>#REF!</v>
      </c>
      <c r="C58" s="71" t="e">
        <f>bkva*2.5*480/365*'védett övezet árak '!$A53</f>
        <v>#REF!</v>
      </c>
      <c r="D58" s="71" t="e">
        <f>bkva*2.5*480/365*'védett övezet árak '!$A53</f>
        <v>#REF!</v>
      </c>
      <c r="E58" s="71" t="e">
        <f>bkva*3.75*480/365*'védett övezet árak '!$A53</f>
        <v>#REF!</v>
      </c>
      <c r="F58" s="71" t="e">
        <f>bkva*3.75*480/365*'védett övezet árak '!$A53</f>
        <v>#REF!</v>
      </c>
      <c r="G58" s="71" t="e">
        <f>bkva*3.75*480/365*'védett övezet árak '!$A53</f>
        <v>#REF!</v>
      </c>
      <c r="H58" s="71" t="e">
        <f>bkva*7.5*480/365*'védett övezet árak '!$A53</f>
        <v>#REF!</v>
      </c>
    </row>
    <row r="59" spans="1:8" ht="15.5" thickBot="1" x14ac:dyDescent="0.3">
      <c r="A59" s="70" t="s">
        <v>107</v>
      </c>
      <c r="B59" s="71" t="e">
        <f>bkva*1.25*576/365*'védett övezet árak '!$A53</f>
        <v>#REF!</v>
      </c>
      <c r="C59" s="71" t="e">
        <f>bkva*2.5*576/365*'védett övezet árak '!$A53</f>
        <v>#REF!</v>
      </c>
      <c r="D59" s="71" t="e">
        <f>bkva*2.5*576/365*'védett övezet árak '!$A53</f>
        <v>#REF!</v>
      </c>
      <c r="E59" s="71" t="e">
        <f>bkva*3.75*576/365*'védett övezet árak '!$A53</f>
        <v>#REF!</v>
      </c>
      <c r="F59" s="71" t="e">
        <f>bkva*3.75*576/365*'védett övezet árak '!$A53</f>
        <v>#REF!</v>
      </c>
      <c r="G59" s="71" t="e">
        <f>bkva*3.75*576/365*'védett övezet árak '!$A53</f>
        <v>#REF!</v>
      </c>
      <c r="H59" s="71" t="e">
        <f>bkva*7.5*576/365*'védett övezet árak '!$A53</f>
        <v>#REF!</v>
      </c>
    </row>
    <row r="60" spans="1:8" ht="15.5" thickBot="1" x14ac:dyDescent="0.3">
      <c r="A60" s="70" t="s">
        <v>109</v>
      </c>
      <c r="B60" s="71" t="e">
        <f>bkva*1.25*3650/365*'védett övezet árak '!$A53</f>
        <v>#REF!</v>
      </c>
      <c r="C60" s="71" t="e">
        <f>bkva*2.5*3650/365*'védett övezet árak '!$A53</f>
        <v>#REF!</v>
      </c>
      <c r="D60" s="71" t="e">
        <f>bkva*2.5*3650/365*'védett övezet árak '!$A53</f>
        <v>#REF!</v>
      </c>
      <c r="E60" s="71" t="e">
        <f>bkva*3.75*3650/365*'védett övezet árak '!$A53</f>
        <v>#REF!</v>
      </c>
      <c r="F60" s="71" t="e">
        <f>bkva*3.75*3650/365*'védett övezet árak '!$A53</f>
        <v>#REF!</v>
      </c>
      <c r="G60" s="71" t="e">
        <f>bkva*3.75*3650/365*'védett övezet árak '!$A53</f>
        <v>#REF!</v>
      </c>
      <c r="H60" s="71" t="e">
        <f>bkva*7.5*3650/365*'védett övezet árak '!$A53</f>
        <v>#REF!</v>
      </c>
    </row>
    <row r="61" spans="1:8" ht="13" thickBot="1" x14ac:dyDescent="0.3">
      <c r="A61" s="74"/>
      <c r="B61" s="75"/>
      <c r="C61" s="75"/>
      <c r="D61" s="75"/>
      <c r="E61" s="75"/>
      <c r="F61" s="75"/>
      <c r="G61" s="75"/>
      <c r="H61" s="76"/>
    </row>
    <row r="62" spans="1:8" ht="16" thickBot="1" x14ac:dyDescent="0.3">
      <c r="A62" s="77">
        <v>7</v>
      </c>
      <c r="B62" s="75"/>
      <c r="C62" s="75"/>
      <c r="D62" s="75"/>
      <c r="E62" s="75"/>
      <c r="F62" s="75"/>
      <c r="G62" s="75"/>
      <c r="H62" s="76"/>
    </row>
    <row r="63" spans="1:8" ht="15.5" thickBot="1" x14ac:dyDescent="0.3">
      <c r="A63" s="339" t="s">
        <v>94</v>
      </c>
      <c r="B63" s="331" t="s">
        <v>95</v>
      </c>
      <c r="C63" s="333" t="s">
        <v>96</v>
      </c>
      <c r="D63" s="334"/>
      <c r="E63" s="334"/>
      <c r="F63" s="334"/>
      <c r="G63" s="334"/>
      <c r="H63" s="335"/>
    </row>
    <row r="64" spans="1:8" ht="15.5" thickBot="1" x14ac:dyDescent="0.3">
      <c r="A64" s="330"/>
      <c r="B64" s="332"/>
      <c r="C64" s="68" t="s">
        <v>97</v>
      </c>
      <c r="D64" s="68" t="s">
        <v>98</v>
      </c>
      <c r="E64" s="68" t="s">
        <v>99</v>
      </c>
      <c r="F64" s="68" t="s">
        <v>100</v>
      </c>
      <c r="G64" s="68" t="s">
        <v>101</v>
      </c>
      <c r="H64" s="69" t="s">
        <v>102</v>
      </c>
    </row>
    <row r="65" spans="1:8" ht="15.5" thickBot="1" x14ac:dyDescent="0.3">
      <c r="A65" s="70" t="s">
        <v>103</v>
      </c>
      <c r="B65" s="71"/>
      <c r="C65" s="72" t="s">
        <v>61</v>
      </c>
      <c r="D65" s="72" t="s">
        <v>61</v>
      </c>
      <c r="E65" s="72" t="s">
        <v>61</v>
      </c>
      <c r="F65" s="72" t="s">
        <v>61</v>
      </c>
      <c r="G65" s="72" t="s">
        <v>61</v>
      </c>
      <c r="H65" s="73" t="s">
        <v>61</v>
      </c>
    </row>
    <row r="66" spans="1:8" ht="15.5" thickBot="1" x14ac:dyDescent="0.3">
      <c r="A66" s="70" t="s">
        <v>105</v>
      </c>
      <c r="B66" s="71" t="e">
        <f>bkva*1.25*480/365*'védett övezet árak '!$A62</f>
        <v>#REF!</v>
      </c>
      <c r="C66" s="71" t="e">
        <f>bkva*2.5*480/365*'védett övezet árak '!$A62</f>
        <v>#REF!</v>
      </c>
      <c r="D66" s="71" t="e">
        <f>bkva*2.5*480/365*'védett övezet árak '!$A62</f>
        <v>#REF!</v>
      </c>
      <c r="E66" s="71" t="e">
        <f>bkva*3.75*480/365*'védett övezet árak '!$A62</f>
        <v>#REF!</v>
      </c>
      <c r="F66" s="71" t="e">
        <f>bkva*3.75*480/365*'védett övezet árak '!$A62</f>
        <v>#REF!</v>
      </c>
      <c r="G66" s="71" t="e">
        <f>bkva*3.75*480/365*'védett övezet árak '!$A62</f>
        <v>#REF!</v>
      </c>
      <c r="H66" s="71" t="e">
        <f>bkva*7.5*480/365*'védett övezet árak '!$A62</f>
        <v>#REF!</v>
      </c>
    </row>
    <row r="67" spans="1:8" ht="15.5" thickBot="1" x14ac:dyDescent="0.3">
      <c r="A67" s="70" t="s">
        <v>106</v>
      </c>
      <c r="B67" s="71" t="e">
        <f>bkva*1.25*480/365*'védett övezet árak '!$A62</f>
        <v>#REF!</v>
      </c>
      <c r="C67" s="71" t="e">
        <f>bkva*2.5*480/365*'védett övezet árak '!$A62</f>
        <v>#REF!</v>
      </c>
      <c r="D67" s="71" t="e">
        <f>bkva*2.5*480/365*'védett övezet árak '!$A62</f>
        <v>#REF!</v>
      </c>
      <c r="E67" s="71" t="e">
        <f>bkva*3.75*480/365*'védett övezet árak '!$A62</f>
        <v>#REF!</v>
      </c>
      <c r="F67" s="71" t="e">
        <f>bkva*3.75*480/365*'védett övezet árak '!$A62</f>
        <v>#REF!</v>
      </c>
      <c r="G67" s="71" t="e">
        <f>bkva*3.75*480/365*'védett övezet árak '!$A62</f>
        <v>#REF!</v>
      </c>
      <c r="H67" s="71" t="e">
        <f>bkva*7.5*480/365*'védett övezet árak '!$A62</f>
        <v>#REF!</v>
      </c>
    </row>
    <row r="68" spans="1:8" ht="15.5" thickBot="1" x14ac:dyDescent="0.3">
      <c r="A68" s="70" t="s">
        <v>107</v>
      </c>
      <c r="B68" s="71" t="e">
        <f>bkva*1.25*576/365*'védett övezet árak '!$A62</f>
        <v>#REF!</v>
      </c>
      <c r="C68" s="71" t="e">
        <f>bkva*2.5*576/365*'védett övezet árak '!$A62</f>
        <v>#REF!</v>
      </c>
      <c r="D68" s="71" t="e">
        <f>bkva*2.5*576/365*'védett övezet árak '!$A62</f>
        <v>#REF!</v>
      </c>
      <c r="E68" s="71" t="e">
        <f>bkva*3.75*576/365*'védett övezet árak '!$A62</f>
        <v>#REF!</v>
      </c>
      <c r="F68" s="71" t="e">
        <f>bkva*3.75*576/365*'védett övezet árak '!$A62</f>
        <v>#REF!</v>
      </c>
      <c r="G68" s="71" t="e">
        <f>bkva*3.75*576/365*'védett övezet árak '!$A62</f>
        <v>#REF!</v>
      </c>
      <c r="H68" s="71" t="e">
        <f>bkva*7.5*576/365*'védett övezet árak '!$A62</f>
        <v>#REF!</v>
      </c>
    </row>
    <row r="69" spans="1:8" ht="15.5" thickBot="1" x14ac:dyDescent="0.3">
      <c r="A69" s="70" t="s">
        <v>109</v>
      </c>
      <c r="B69" s="71" t="e">
        <f>bkva*1.25*3650/365*'védett övezet árak '!$A62</f>
        <v>#REF!</v>
      </c>
      <c r="C69" s="71" t="e">
        <f>bkva*2.5*3650/365*'védett övezet árak '!$A62</f>
        <v>#REF!</v>
      </c>
      <c r="D69" s="71" t="e">
        <f>bkva*2.5*3650/365*'védett övezet árak '!$A62</f>
        <v>#REF!</v>
      </c>
      <c r="E69" s="71" t="e">
        <f>bkva*3.75*3650/365*'védett övezet árak '!$A62</f>
        <v>#REF!</v>
      </c>
      <c r="F69" s="71" t="e">
        <f>bkva*3.75*3650/365*'védett övezet árak '!$A62</f>
        <v>#REF!</v>
      </c>
      <c r="G69" s="71" t="e">
        <f>bkva*3.75*3650/365*'védett övezet árak '!$A62</f>
        <v>#REF!</v>
      </c>
      <c r="H69" s="71" t="e">
        <f>bkva*7.5*3650/365*'védett övezet árak '!$A62</f>
        <v>#REF!</v>
      </c>
    </row>
    <row r="70" spans="1:8" ht="15.5" thickBot="1" x14ac:dyDescent="0.3">
      <c r="A70" s="81"/>
      <c r="B70" s="82"/>
      <c r="C70" s="83"/>
      <c r="D70" s="83"/>
      <c r="E70" s="83"/>
      <c r="F70" s="83"/>
      <c r="G70" s="83"/>
      <c r="H70" s="84"/>
    </row>
    <row r="71" spans="1:8" ht="16" thickBot="1" x14ac:dyDescent="0.3">
      <c r="A71" s="77">
        <v>15</v>
      </c>
      <c r="B71" s="75"/>
      <c r="C71" s="75"/>
      <c r="D71" s="75"/>
      <c r="E71" s="75"/>
      <c r="F71" s="75"/>
      <c r="G71" s="75"/>
      <c r="H71" s="76"/>
    </row>
    <row r="72" spans="1:8" ht="15.5" thickBot="1" x14ac:dyDescent="0.3">
      <c r="A72" s="329" t="s">
        <v>94</v>
      </c>
      <c r="B72" s="331" t="s">
        <v>95</v>
      </c>
      <c r="C72" s="333" t="s">
        <v>96</v>
      </c>
      <c r="D72" s="334"/>
      <c r="E72" s="334"/>
      <c r="F72" s="334"/>
      <c r="G72" s="334"/>
      <c r="H72" s="335"/>
    </row>
    <row r="73" spans="1:8" ht="15.5" thickBot="1" x14ac:dyDescent="0.3">
      <c r="A73" s="330"/>
      <c r="B73" s="332"/>
      <c r="C73" s="68" t="s">
        <v>97</v>
      </c>
      <c r="D73" s="68" t="s">
        <v>98</v>
      </c>
      <c r="E73" s="68" t="s">
        <v>99</v>
      </c>
      <c r="F73" s="68" t="s">
        <v>100</v>
      </c>
      <c r="G73" s="68" t="s">
        <v>101</v>
      </c>
      <c r="H73" s="69" t="s">
        <v>102</v>
      </c>
    </row>
    <row r="74" spans="1:8" ht="15.5" thickBot="1" x14ac:dyDescent="0.3">
      <c r="A74" s="70" t="s">
        <v>103</v>
      </c>
      <c r="B74" s="71"/>
      <c r="C74" s="72" t="s">
        <v>61</v>
      </c>
      <c r="D74" s="72" t="s">
        <v>61</v>
      </c>
      <c r="E74" s="72" t="s">
        <v>61</v>
      </c>
      <c r="F74" s="72" t="s">
        <v>61</v>
      </c>
      <c r="G74" s="72" t="s">
        <v>61</v>
      </c>
      <c r="H74" s="73" t="s">
        <v>61</v>
      </c>
    </row>
    <row r="75" spans="1:8" ht="15.5" thickBot="1" x14ac:dyDescent="0.3">
      <c r="A75" s="70" t="s">
        <v>105</v>
      </c>
      <c r="B75" s="71" t="e">
        <f>bkva*1.25*480/365*'védett övezet árak '!$A71</f>
        <v>#REF!</v>
      </c>
      <c r="C75" s="71" t="e">
        <f>bkva*2.5*480/365*'védett övezet árak '!$A71</f>
        <v>#REF!</v>
      </c>
      <c r="D75" s="71" t="e">
        <f>bkva*2.5*480/365*'védett övezet árak '!$A71</f>
        <v>#REF!</v>
      </c>
      <c r="E75" s="71" t="e">
        <f>bkva*3.75*480/365*'védett övezet árak '!$A71</f>
        <v>#REF!</v>
      </c>
      <c r="F75" s="71" t="e">
        <f>bkva*3.75*480/365*'védett övezet árak '!$A71</f>
        <v>#REF!</v>
      </c>
      <c r="G75" s="71" t="e">
        <f>bkva*3.75*480/365*'védett övezet árak '!$A71</f>
        <v>#REF!</v>
      </c>
      <c r="H75" s="71" t="e">
        <f>bkva*7.5*480/365*'védett övezet árak '!$A71</f>
        <v>#REF!</v>
      </c>
    </row>
    <row r="76" spans="1:8" ht="15.5" thickBot="1" x14ac:dyDescent="0.3">
      <c r="A76" s="70" t="s">
        <v>106</v>
      </c>
      <c r="B76" s="71" t="e">
        <f>bkva*1.25*480/365*'védett övezet árak '!$A71</f>
        <v>#REF!</v>
      </c>
      <c r="C76" s="71" t="e">
        <f>bkva*2.5*480/365*'védett övezet árak '!$A71</f>
        <v>#REF!</v>
      </c>
      <c r="D76" s="71" t="e">
        <f>bkva*2.5*480/365*'védett övezet árak '!$A71</f>
        <v>#REF!</v>
      </c>
      <c r="E76" s="71" t="e">
        <f>bkva*3.75*480/365*'védett övezet árak '!$A71</f>
        <v>#REF!</v>
      </c>
      <c r="F76" s="71" t="e">
        <f>bkva*3.75*480/365*'védett övezet árak '!$A71</f>
        <v>#REF!</v>
      </c>
      <c r="G76" s="71" t="e">
        <f>bkva*3.75*480/365*'védett övezet árak '!$A71</f>
        <v>#REF!</v>
      </c>
      <c r="H76" s="71" t="e">
        <f>bkva*7.5*480/365*'védett övezet árak '!$A71</f>
        <v>#REF!</v>
      </c>
    </row>
    <row r="77" spans="1:8" ht="15.5" thickBot="1" x14ac:dyDescent="0.3">
      <c r="A77" s="70" t="s">
        <v>107</v>
      </c>
      <c r="B77" s="71" t="e">
        <f>bkva*1.25*576/365*'védett övezet árak '!$A71</f>
        <v>#REF!</v>
      </c>
      <c r="C77" s="71" t="e">
        <f>bkva*2.5*576/365*'védett övezet árak '!$A71</f>
        <v>#REF!</v>
      </c>
      <c r="D77" s="71" t="e">
        <f>bkva*2.5*576/365*'védett övezet árak '!$A71</f>
        <v>#REF!</v>
      </c>
      <c r="E77" s="71" t="e">
        <f>bkva*3.75*576/365*'védett övezet árak '!$A71</f>
        <v>#REF!</v>
      </c>
      <c r="F77" s="71" t="e">
        <f>bkva*3.75*576/365*'védett övezet árak '!$A71</f>
        <v>#REF!</v>
      </c>
      <c r="G77" s="71" t="e">
        <f>bkva*3.75*576/365*'védett övezet árak '!$A71</f>
        <v>#REF!</v>
      </c>
      <c r="H77" s="71" t="e">
        <f>bkva*7.5*576/365*'védett övezet árak '!$A71</f>
        <v>#REF!</v>
      </c>
    </row>
    <row r="78" spans="1:8" ht="15.5" thickBot="1" x14ac:dyDescent="0.3">
      <c r="A78" s="70" t="s">
        <v>109</v>
      </c>
      <c r="B78" s="71" t="e">
        <f>bkva*1.25*3650/365*'védett övezet árak '!$A71</f>
        <v>#REF!</v>
      </c>
      <c r="C78" s="71" t="e">
        <f>bkva*2.5*3650/365*'védett övezet árak '!$A71</f>
        <v>#REF!</v>
      </c>
      <c r="D78" s="71" t="e">
        <f>bkva*2.5*3650/365*'védett övezet árak '!$A71</f>
        <v>#REF!</v>
      </c>
      <c r="E78" s="71" t="e">
        <f>bkva*3.75*3650/365*'védett övezet árak '!$A71</f>
        <v>#REF!</v>
      </c>
      <c r="F78" s="71" t="e">
        <f>bkva*3.75*3650/365*'védett övezet árak '!$A71</f>
        <v>#REF!</v>
      </c>
      <c r="G78" s="71" t="e">
        <f>bkva*3.75*3650/365*'védett övezet árak '!$A71</f>
        <v>#REF!</v>
      </c>
      <c r="H78" s="71" t="e">
        <f>bkva*7.5*3650/365*'védett övezet árak '!$A71</f>
        <v>#REF!</v>
      </c>
    </row>
    <row r="79" spans="1:8" ht="15.5" thickBot="1" x14ac:dyDescent="0.3">
      <c r="A79" s="81"/>
      <c r="B79" s="82"/>
      <c r="C79" s="83"/>
      <c r="D79" s="83"/>
      <c r="E79" s="83"/>
      <c r="F79" s="83"/>
      <c r="G79" s="83"/>
      <c r="H79" s="84"/>
    </row>
    <row r="80" spans="1:8" ht="16" thickBot="1" x14ac:dyDescent="0.3">
      <c r="A80" s="77">
        <v>30</v>
      </c>
      <c r="B80" s="75"/>
      <c r="C80" s="75"/>
      <c r="D80" s="75"/>
      <c r="E80" s="75"/>
      <c r="F80" s="75"/>
      <c r="G80" s="75"/>
      <c r="H80" s="76"/>
    </row>
    <row r="81" spans="1:8" ht="15.5" thickBot="1" x14ac:dyDescent="0.3">
      <c r="A81" s="329" t="s">
        <v>94</v>
      </c>
      <c r="B81" s="331" t="s">
        <v>95</v>
      </c>
      <c r="C81" s="333" t="s">
        <v>96</v>
      </c>
      <c r="D81" s="334"/>
      <c r="E81" s="334"/>
      <c r="F81" s="334"/>
      <c r="G81" s="334"/>
      <c r="H81" s="335"/>
    </row>
    <row r="82" spans="1:8" ht="15.5" thickBot="1" x14ac:dyDescent="0.3">
      <c r="A82" s="330"/>
      <c r="B82" s="332"/>
      <c r="C82" s="68" t="s">
        <v>97</v>
      </c>
      <c r="D82" s="68" t="s">
        <v>98</v>
      </c>
      <c r="E82" s="68" t="s">
        <v>99</v>
      </c>
      <c r="F82" s="68" t="s">
        <v>100</v>
      </c>
      <c r="G82" s="68" t="s">
        <v>101</v>
      </c>
      <c r="H82" s="69" t="s">
        <v>102</v>
      </c>
    </row>
    <row r="83" spans="1:8" ht="15.5" thickBot="1" x14ac:dyDescent="0.3">
      <c r="A83" s="70" t="s">
        <v>103</v>
      </c>
      <c r="B83" s="71"/>
      <c r="C83" s="72" t="s">
        <v>61</v>
      </c>
      <c r="D83" s="72" t="s">
        <v>61</v>
      </c>
      <c r="E83" s="72" t="s">
        <v>61</v>
      </c>
      <c r="F83" s="72" t="s">
        <v>61</v>
      </c>
      <c r="G83" s="72" t="s">
        <v>61</v>
      </c>
      <c r="H83" s="73" t="s">
        <v>61</v>
      </c>
    </row>
    <row r="84" spans="1:8" ht="15.5" thickBot="1" x14ac:dyDescent="0.3">
      <c r="A84" s="70" t="s">
        <v>105</v>
      </c>
      <c r="B84" s="71" t="e">
        <f>bkva*1.25*480/365*'védett övezet árak '!$A80</f>
        <v>#REF!</v>
      </c>
      <c r="C84" s="71" t="e">
        <f>bkva*2.5*480/365*'védett övezet árak '!$A80</f>
        <v>#REF!</v>
      </c>
      <c r="D84" s="71" t="e">
        <f>bkva*2.5*480/365*'védett övezet árak '!$A80</f>
        <v>#REF!</v>
      </c>
      <c r="E84" s="71" t="e">
        <f>bkva*3.75*480/365*'védett övezet árak '!$A80</f>
        <v>#REF!</v>
      </c>
      <c r="F84" s="71" t="e">
        <f>bkva*3.75*480/365*'védett övezet árak '!$A80</f>
        <v>#REF!</v>
      </c>
      <c r="G84" s="71" t="e">
        <f>bkva*3.75*480/365*'védett övezet árak '!$A80</f>
        <v>#REF!</v>
      </c>
      <c r="H84" s="71" t="e">
        <f>bkva*7.5*480/365*'védett övezet árak '!$A80</f>
        <v>#REF!</v>
      </c>
    </row>
    <row r="85" spans="1:8" ht="15.5" thickBot="1" x14ac:dyDescent="0.3">
      <c r="A85" s="70" t="s">
        <v>106</v>
      </c>
      <c r="B85" s="71" t="e">
        <f>bkva*1.25*480/365*'védett övezet árak '!$A80</f>
        <v>#REF!</v>
      </c>
      <c r="C85" s="71" t="e">
        <f>bkva*2.5*480/365*'védett övezet árak '!$A80</f>
        <v>#REF!</v>
      </c>
      <c r="D85" s="71" t="e">
        <f>bkva*2.5*480/365*'védett övezet árak '!$A80</f>
        <v>#REF!</v>
      </c>
      <c r="E85" s="71" t="e">
        <f>bkva*3.75*480/365*'védett övezet árak '!$A80</f>
        <v>#REF!</v>
      </c>
      <c r="F85" s="71" t="e">
        <f>bkva*3.75*480/365*'védett övezet árak '!$A80</f>
        <v>#REF!</v>
      </c>
      <c r="G85" s="71" t="e">
        <f>bkva*3.75*480/365*'védett övezet árak '!$A80</f>
        <v>#REF!</v>
      </c>
      <c r="H85" s="71" t="e">
        <f>bkva*7.5*480/365*'védett övezet árak '!$A80</f>
        <v>#REF!</v>
      </c>
    </row>
    <row r="86" spans="1:8" ht="15.5" thickBot="1" x14ac:dyDescent="0.3">
      <c r="A86" s="70" t="s">
        <v>107</v>
      </c>
      <c r="B86" s="71" t="e">
        <f>bkva*1.25*576/365*'védett övezet árak '!$A80</f>
        <v>#REF!</v>
      </c>
      <c r="C86" s="71" t="e">
        <f>bkva*2.5*576/365*'védett övezet árak '!$A80</f>
        <v>#REF!</v>
      </c>
      <c r="D86" s="71" t="e">
        <f>bkva*2.5*576/365*'védett övezet árak '!$A80</f>
        <v>#REF!</v>
      </c>
      <c r="E86" s="71" t="e">
        <f>bkva*3.75*576/365*'védett övezet árak '!$A80</f>
        <v>#REF!</v>
      </c>
      <c r="F86" s="71" t="e">
        <f>bkva*3.75*576/365*'védett övezet árak '!$A80</f>
        <v>#REF!</v>
      </c>
      <c r="G86" s="71" t="e">
        <f>bkva*3.75*576/365*'védett övezet árak '!$A80</f>
        <v>#REF!</v>
      </c>
      <c r="H86" s="71" t="e">
        <f>bkva*7.5*576/365*'védett övezet árak '!$A80</f>
        <v>#REF!</v>
      </c>
    </row>
    <row r="87" spans="1:8" ht="15.5" thickBot="1" x14ac:dyDescent="0.3">
      <c r="A87" s="70" t="s">
        <v>109</v>
      </c>
      <c r="B87" s="71" t="e">
        <f>bkva*1.25*3650/365*'védett övezet árak '!$A80</f>
        <v>#REF!</v>
      </c>
      <c r="C87" s="71" t="e">
        <f>bkva*2.5*3650/365*'védett övezet árak '!$A80</f>
        <v>#REF!</v>
      </c>
      <c r="D87" s="71" t="e">
        <f>bkva*2.5*3650/365*'védett övezet árak '!$A80</f>
        <v>#REF!</v>
      </c>
      <c r="E87" s="71" t="e">
        <f>bkva*3.75*3650/365*'védett övezet árak '!$A80</f>
        <v>#REF!</v>
      </c>
      <c r="F87" s="71" t="e">
        <f>bkva*3.75*3650/365*'védett övezet árak '!$A80</f>
        <v>#REF!</v>
      </c>
      <c r="G87" s="71" t="e">
        <f>bkva*3.75*3650/365*'védett övezet árak '!$A80</f>
        <v>#REF!</v>
      </c>
      <c r="H87" s="71" t="e">
        <f>bkva*7.5*3650/365*'védett övezet árak '!$A80</f>
        <v>#REF!</v>
      </c>
    </row>
    <row r="88" spans="1:8" ht="13" thickBot="1" x14ac:dyDescent="0.3">
      <c r="A88" s="74"/>
      <c r="B88" s="75"/>
      <c r="C88" s="75"/>
      <c r="D88" s="75"/>
      <c r="E88" s="75"/>
      <c r="F88" s="75"/>
      <c r="G88" s="75"/>
      <c r="H88" s="76"/>
    </row>
    <row r="89" spans="1:8" ht="16" thickBot="1" x14ac:dyDescent="0.3">
      <c r="A89" s="77">
        <v>180</v>
      </c>
      <c r="B89" s="75"/>
      <c r="C89" s="75"/>
      <c r="D89" s="75"/>
      <c r="E89" s="75"/>
      <c r="F89" s="75"/>
      <c r="G89" s="75"/>
      <c r="H89" s="76"/>
    </row>
    <row r="90" spans="1:8" ht="15.5" thickBot="1" x14ac:dyDescent="0.3">
      <c r="A90" s="329" t="s">
        <v>94</v>
      </c>
      <c r="B90" s="331" t="s">
        <v>95</v>
      </c>
      <c r="C90" s="333" t="s">
        <v>96</v>
      </c>
      <c r="D90" s="334"/>
      <c r="E90" s="334"/>
      <c r="F90" s="334"/>
      <c r="G90" s="334"/>
      <c r="H90" s="335"/>
    </row>
    <row r="91" spans="1:8" ht="15.5" thickBot="1" x14ac:dyDescent="0.3">
      <c r="A91" s="330"/>
      <c r="B91" s="332"/>
      <c r="C91" s="68" t="s">
        <v>97</v>
      </c>
      <c r="D91" s="68" t="s">
        <v>98</v>
      </c>
      <c r="E91" s="68" t="s">
        <v>99</v>
      </c>
      <c r="F91" s="68" t="s">
        <v>100</v>
      </c>
      <c r="G91" s="68" t="s">
        <v>101</v>
      </c>
      <c r="H91" s="69" t="s">
        <v>102</v>
      </c>
    </row>
    <row r="92" spans="1:8" ht="15.5" thickBot="1" x14ac:dyDescent="0.3">
      <c r="A92" s="70" t="s">
        <v>103</v>
      </c>
      <c r="B92" s="71"/>
      <c r="C92" s="72" t="s">
        <v>61</v>
      </c>
      <c r="D92" s="72" t="s">
        <v>61</v>
      </c>
      <c r="E92" s="72" t="s">
        <v>61</v>
      </c>
      <c r="F92" s="72" t="s">
        <v>61</v>
      </c>
      <c r="G92" s="72" t="s">
        <v>61</v>
      </c>
      <c r="H92" s="73" t="s">
        <v>61</v>
      </c>
    </row>
    <row r="93" spans="1:8" ht="15.5" thickBot="1" x14ac:dyDescent="0.3">
      <c r="A93" s="70" t="s">
        <v>105</v>
      </c>
      <c r="B93" s="71" t="e">
        <f>bkva*1.25*480/365*'védett övezet árak '!$A89</f>
        <v>#REF!</v>
      </c>
      <c r="C93" s="71" t="e">
        <f>bkva*2.5*480/365*'védett övezet árak '!$A89</f>
        <v>#REF!</v>
      </c>
      <c r="D93" s="71" t="e">
        <f>bkva*2.5*480/365*'védett övezet árak '!$A89</f>
        <v>#REF!</v>
      </c>
      <c r="E93" s="71" t="e">
        <f>bkva*3.75*480/365*'védett övezet árak '!$A89</f>
        <v>#REF!</v>
      </c>
      <c r="F93" s="71" t="e">
        <f>bkva*3.75*480/365*'védett övezet árak '!$A89</f>
        <v>#REF!</v>
      </c>
      <c r="G93" s="71" t="e">
        <f>bkva*3.75*480/365*'védett övezet árak '!$A89</f>
        <v>#REF!</v>
      </c>
      <c r="H93" s="71" t="e">
        <f>bkva*7.5*480/365*'védett övezet árak '!$A89</f>
        <v>#REF!</v>
      </c>
    </row>
    <row r="94" spans="1:8" ht="15.5" thickBot="1" x14ac:dyDescent="0.3">
      <c r="A94" s="70" t="s">
        <v>106</v>
      </c>
      <c r="B94" s="71" t="e">
        <f>bkva*1.25*480/365*'védett övezet árak '!$A89</f>
        <v>#REF!</v>
      </c>
      <c r="C94" s="71" t="e">
        <f>bkva*2.5*480/365*'védett övezet árak '!$A89</f>
        <v>#REF!</v>
      </c>
      <c r="D94" s="71" t="e">
        <f>bkva*2.5*480/365*'védett övezet árak '!$A89</f>
        <v>#REF!</v>
      </c>
      <c r="E94" s="71" t="e">
        <f>bkva*3.75*480/365*'védett övezet árak '!$A89</f>
        <v>#REF!</v>
      </c>
      <c r="F94" s="71" t="e">
        <f>bkva*3.75*480/365*'védett övezet árak '!$A89</f>
        <v>#REF!</v>
      </c>
      <c r="G94" s="71" t="e">
        <f>bkva*3.75*480/365*'védett övezet árak '!$A89</f>
        <v>#REF!</v>
      </c>
      <c r="H94" s="71" t="e">
        <f>bkva*7.5*480/365*'védett övezet árak '!$A89</f>
        <v>#REF!</v>
      </c>
    </row>
    <row r="95" spans="1:8" ht="15.5" thickBot="1" x14ac:dyDescent="0.3">
      <c r="A95" s="70" t="s">
        <v>107</v>
      </c>
      <c r="B95" s="71" t="e">
        <f>bkva*1.25*576/365*'védett övezet árak '!$A89</f>
        <v>#REF!</v>
      </c>
      <c r="C95" s="71" t="e">
        <f>bkva*2.5*576/365*'védett övezet árak '!$A89</f>
        <v>#REF!</v>
      </c>
      <c r="D95" s="71" t="e">
        <f>bkva*2.5*576/365*'védett övezet árak '!$A89</f>
        <v>#REF!</v>
      </c>
      <c r="E95" s="71" t="e">
        <f>bkva*3.75*576/365*'védett övezet árak '!$A89</f>
        <v>#REF!</v>
      </c>
      <c r="F95" s="71" t="e">
        <f>bkva*3.75*576/365*'védett övezet árak '!$A89</f>
        <v>#REF!</v>
      </c>
      <c r="G95" s="71" t="e">
        <f>bkva*3.75*576/365*'védett övezet árak '!$A89</f>
        <v>#REF!</v>
      </c>
      <c r="H95" s="71" t="e">
        <f>bkva*7.5*576/365*'védett övezet árak '!$A89</f>
        <v>#REF!</v>
      </c>
    </row>
    <row r="96" spans="1:8" ht="15.5" thickBot="1" x14ac:dyDescent="0.3">
      <c r="A96" s="70" t="s">
        <v>109</v>
      </c>
      <c r="B96" s="71" t="e">
        <f>bkva*1.25*3650/365*'védett övezet árak '!$A89</f>
        <v>#REF!</v>
      </c>
      <c r="C96" s="71" t="e">
        <f>bkva*2.5*3650/365*'védett övezet árak '!$A89</f>
        <v>#REF!</v>
      </c>
      <c r="D96" s="71" t="e">
        <f>bkva*2.5*3650/365*'védett övezet árak '!$A89</f>
        <v>#REF!</v>
      </c>
      <c r="E96" s="71" t="e">
        <f>bkva*3.75*3650/365*'védett övezet árak '!$A89</f>
        <v>#REF!</v>
      </c>
      <c r="F96" s="71" t="e">
        <f>bkva*3.75*3650/365*'védett övezet árak '!$A89</f>
        <v>#REF!</v>
      </c>
      <c r="G96" s="71" t="e">
        <f>bkva*3.75*3650/365*'védett övezet árak '!$A89</f>
        <v>#REF!</v>
      </c>
      <c r="H96" s="71" t="e">
        <f>bkva*7.5*3650/365*'védett övezet árak '!$A89</f>
        <v>#REF!</v>
      </c>
    </row>
    <row r="97" spans="1:8" ht="13" thickBot="1" x14ac:dyDescent="0.3">
      <c r="A97" s="74"/>
      <c r="B97" s="75"/>
      <c r="C97" s="75"/>
      <c r="D97" s="75"/>
      <c r="E97" s="75"/>
      <c r="F97" s="75"/>
      <c r="G97" s="75"/>
      <c r="H97" s="76"/>
    </row>
    <row r="98" spans="1:8" ht="16" thickBot="1" x14ac:dyDescent="0.3">
      <c r="A98" s="77">
        <v>360</v>
      </c>
      <c r="B98" s="75"/>
      <c r="C98" s="75"/>
      <c r="D98" s="75"/>
      <c r="E98" s="75"/>
      <c r="F98" s="75"/>
      <c r="G98" s="75"/>
      <c r="H98" s="76"/>
    </row>
    <row r="99" spans="1:8" ht="15.5" thickBot="1" x14ac:dyDescent="0.3">
      <c r="A99" s="329" t="s">
        <v>94</v>
      </c>
      <c r="B99" s="331" t="s">
        <v>95</v>
      </c>
      <c r="C99" s="333" t="s">
        <v>96</v>
      </c>
      <c r="D99" s="334"/>
      <c r="E99" s="334"/>
      <c r="F99" s="334"/>
      <c r="G99" s="334"/>
      <c r="H99" s="335"/>
    </row>
    <row r="100" spans="1:8" ht="15.5" thickBot="1" x14ac:dyDescent="0.3">
      <c r="A100" s="330"/>
      <c r="B100" s="332"/>
      <c r="C100" s="68" t="s">
        <v>97</v>
      </c>
      <c r="D100" s="68" t="s">
        <v>98</v>
      </c>
      <c r="E100" s="68" t="s">
        <v>99</v>
      </c>
      <c r="F100" s="68" t="s">
        <v>100</v>
      </c>
      <c r="G100" s="68" t="s">
        <v>101</v>
      </c>
      <c r="H100" s="69" t="s">
        <v>102</v>
      </c>
    </row>
    <row r="101" spans="1:8" ht="15.5" thickBot="1" x14ac:dyDescent="0.3">
      <c r="A101" s="70" t="s">
        <v>103</v>
      </c>
      <c r="B101" s="71"/>
      <c r="C101" s="72" t="s">
        <v>61</v>
      </c>
      <c r="D101" s="72" t="s">
        <v>61</v>
      </c>
      <c r="E101" s="72" t="s">
        <v>61</v>
      </c>
      <c r="F101" s="72" t="s">
        <v>61</v>
      </c>
      <c r="G101" s="72" t="s">
        <v>61</v>
      </c>
      <c r="H101" s="73" t="s">
        <v>61</v>
      </c>
    </row>
    <row r="102" spans="1:8" ht="15.5" thickBot="1" x14ac:dyDescent="0.3">
      <c r="A102" s="70" t="s">
        <v>105</v>
      </c>
      <c r="B102" s="71" t="e">
        <f>bkva*1.25*480/365*'védett övezet árak '!$A98</f>
        <v>#REF!</v>
      </c>
      <c r="C102" s="71" t="e">
        <f>bkva*2.5*480/365*'védett övezet árak '!$A98</f>
        <v>#REF!</v>
      </c>
      <c r="D102" s="71" t="e">
        <f>bkva*2.5*480/365*'védett övezet árak '!$A98</f>
        <v>#REF!</v>
      </c>
      <c r="E102" s="71" t="e">
        <f>bkva*3.75*480/365*'védett övezet árak '!$A98</f>
        <v>#REF!</v>
      </c>
      <c r="F102" s="71" t="e">
        <f>bkva*3.75*480/365*'védett övezet árak '!$A98</f>
        <v>#REF!</v>
      </c>
      <c r="G102" s="71" t="e">
        <f>bkva*3.75*480/365*'védett övezet árak '!$A98</f>
        <v>#REF!</v>
      </c>
      <c r="H102" s="71" t="e">
        <f>bkva*7.5*480/365*'védett övezet árak '!$A98</f>
        <v>#REF!</v>
      </c>
    </row>
    <row r="103" spans="1:8" ht="15.5" thickBot="1" x14ac:dyDescent="0.3">
      <c r="A103" s="70" t="s">
        <v>106</v>
      </c>
      <c r="B103" s="71" t="e">
        <f>bkva*1.25*480/365*'védett övezet árak '!$A98</f>
        <v>#REF!</v>
      </c>
      <c r="C103" s="71" t="e">
        <f>bkva*2.5*480/365*'védett övezet árak '!$A98</f>
        <v>#REF!</v>
      </c>
      <c r="D103" s="71" t="e">
        <f>bkva*2.5*480/365*'védett övezet árak '!$A98</f>
        <v>#REF!</v>
      </c>
      <c r="E103" s="71" t="e">
        <f>bkva*3.75*480/365*'védett övezet árak '!$A98</f>
        <v>#REF!</v>
      </c>
      <c r="F103" s="71" t="e">
        <f>bkva*3.75*480/365*'védett övezet árak '!$A98</f>
        <v>#REF!</v>
      </c>
      <c r="G103" s="71" t="e">
        <f>bkva*3.75*480/365*'védett övezet árak '!$A98</f>
        <v>#REF!</v>
      </c>
      <c r="H103" s="71" t="e">
        <f>bkva*7.5*480/365*'védett övezet árak '!$A98</f>
        <v>#REF!</v>
      </c>
    </row>
    <row r="104" spans="1:8" ht="15.5" thickBot="1" x14ac:dyDescent="0.3">
      <c r="A104" s="70" t="s">
        <v>107</v>
      </c>
      <c r="B104" s="71" t="e">
        <f>bkva*1.25*576/365*'védett övezet árak '!$A98</f>
        <v>#REF!</v>
      </c>
      <c r="C104" s="71" t="e">
        <f>bkva*2.5*576/365*'védett övezet árak '!$A98</f>
        <v>#REF!</v>
      </c>
      <c r="D104" s="71" t="e">
        <f>bkva*2.5*576/365*'védett övezet árak '!$A98</f>
        <v>#REF!</v>
      </c>
      <c r="E104" s="71" t="e">
        <f>bkva*3.75*576/365*'védett övezet árak '!$A98</f>
        <v>#REF!</v>
      </c>
      <c r="F104" s="71" t="e">
        <f>bkva*3.75*576/365*'védett övezet árak '!$A98</f>
        <v>#REF!</v>
      </c>
      <c r="G104" s="71" t="e">
        <f>bkva*3.75*576/365*'védett övezet árak '!$A98</f>
        <v>#REF!</v>
      </c>
      <c r="H104" s="71" t="e">
        <f>bkva*7.5*576/365*'védett övezet árak '!$A98</f>
        <v>#REF!</v>
      </c>
    </row>
    <row r="105" spans="1:8" ht="15.5" thickBot="1" x14ac:dyDescent="0.3">
      <c r="A105" s="70" t="s">
        <v>109</v>
      </c>
      <c r="B105" s="71" t="e">
        <f>bkva*1.25*3650/365*'védett övezet árak '!$A98</f>
        <v>#REF!</v>
      </c>
      <c r="C105" s="71" t="e">
        <f>bkva*2.5*3650/365*'védett övezet árak '!$A98</f>
        <v>#REF!</v>
      </c>
      <c r="D105" s="71" t="e">
        <f>bkva*2.5*3650/365*'védett övezet árak '!$A98</f>
        <v>#REF!</v>
      </c>
      <c r="E105" s="71" t="e">
        <f>bkva*3.75*3650/365*'védett övezet árak '!$A98</f>
        <v>#REF!</v>
      </c>
      <c r="F105" s="71" t="e">
        <f>bkva*3.75*3650/365*'védett övezet árak '!$A98</f>
        <v>#REF!</v>
      </c>
      <c r="G105" s="71" t="e">
        <f>bkva*3.75*3650/365*'védett övezet árak '!$A98</f>
        <v>#REF!</v>
      </c>
      <c r="H105" s="71" t="e">
        <f>bkva*7.5*3650/365*'védett övezet árak '!$A98</f>
        <v>#REF!</v>
      </c>
    </row>
    <row r="106" spans="1:8" ht="30.75" customHeight="1" thickBot="1" x14ac:dyDescent="0.3">
      <c r="A106" s="75"/>
      <c r="B106" s="75"/>
      <c r="C106" s="75"/>
      <c r="D106" s="75"/>
      <c r="E106" s="75"/>
      <c r="F106" s="75"/>
      <c r="G106" s="75"/>
      <c r="H106" s="75"/>
    </row>
    <row r="107" spans="1:8" ht="36" customHeight="1" thickBot="1" x14ac:dyDescent="0.3">
      <c r="A107" s="340" t="s">
        <v>111</v>
      </c>
      <c r="B107" s="341"/>
      <c r="C107" s="341"/>
      <c r="D107" s="341"/>
      <c r="E107" s="341"/>
      <c r="F107" s="341"/>
      <c r="G107" s="341"/>
      <c r="H107" s="342"/>
    </row>
    <row r="108" spans="1:8" ht="37.5" customHeight="1" thickBot="1" x14ac:dyDescent="0.3">
      <c r="A108" s="85">
        <v>1</v>
      </c>
      <c r="B108" s="75"/>
      <c r="C108" s="75"/>
      <c r="D108" s="75"/>
      <c r="E108" s="75"/>
      <c r="F108" s="75"/>
      <c r="G108" s="75"/>
      <c r="H108" s="76"/>
    </row>
    <row r="109" spans="1:8" ht="16.5" customHeight="1" thickBot="1" x14ac:dyDescent="0.3">
      <c r="A109" s="329" t="s">
        <v>94</v>
      </c>
      <c r="B109" s="331" t="s">
        <v>95</v>
      </c>
      <c r="C109" s="333" t="s">
        <v>96</v>
      </c>
      <c r="D109" s="334"/>
      <c r="E109" s="334"/>
      <c r="F109" s="334"/>
      <c r="G109" s="334"/>
      <c r="H109" s="335"/>
    </row>
    <row r="110" spans="1:8" ht="15.75" customHeight="1" thickBot="1" x14ac:dyDescent="0.3">
      <c r="A110" s="330"/>
      <c r="B110" s="332"/>
      <c r="C110" s="68" t="s">
        <v>97</v>
      </c>
      <c r="D110" s="68" t="s">
        <v>98</v>
      </c>
      <c r="E110" s="68" t="s">
        <v>99</v>
      </c>
      <c r="F110" s="68" t="s">
        <v>100</v>
      </c>
      <c r="G110" s="68" t="s">
        <v>101</v>
      </c>
      <c r="H110" s="69" t="s">
        <v>102</v>
      </c>
    </row>
    <row r="111" spans="1:8" ht="15.75" customHeight="1" thickBot="1" x14ac:dyDescent="0.3">
      <c r="A111" s="70" t="s">
        <v>103</v>
      </c>
      <c r="B111" s="71"/>
      <c r="C111" s="72" t="s">
        <v>61</v>
      </c>
      <c r="D111" s="72" t="s">
        <v>61</v>
      </c>
      <c r="E111" s="72" t="s">
        <v>61</v>
      </c>
      <c r="F111" s="72" t="s">
        <v>61</v>
      </c>
      <c r="G111" s="68" t="s">
        <v>61</v>
      </c>
      <c r="H111" s="69" t="s">
        <v>61</v>
      </c>
    </row>
    <row r="112" spans="1:8" ht="15.75" customHeight="1" thickBot="1" x14ac:dyDescent="0.3">
      <c r="A112" s="70" t="s">
        <v>105</v>
      </c>
      <c r="B112" s="71" t="e">
        <f>bkva*1*480/365*'védett övezet árak '!$A108</f>
        <v>#REF!</v>
      </c>
      <c r="C112" s="71" t="e">
        <f>bkva*2*480/365*'védett övezet árak '!$A108</f>
        <v>#REF!</v>
      </c>
      <c r="D112" s="71" t="e">
        <f>bkva*2*480/365*'védett övezet árak '!$A108</f>
        <v>#REF!</v>
      </c>
      <c r="E112" s="71" t="e">
        <f>bkva*3*480/365*'védett övezet árak '!$A108</f>
        <v>#REF!</v>
      </c>
      <c r="F112" s="71" t="e">
        <f>bkva*3*480/365*'védett övezet árak '!$A108</f>
        <v>#REF!</v>
      </c>
      <c r="G112" s="71" t="e">
        <f>bkva*3*480/365*'védett övezet árak '!$A108</f>
        <v>#REF!</v>
      </c>
      <c r="H112" s="71" t="e">
        <f>bkva*6*480/365*'védett övezet árak '!$A108</f>
        <v>#REF!</v>
      </c>
    </row>
    <row r="113" spans="1:8" ht="15.75" customHeight="1" thickBot="1" x14ac:dyDescent="0.3">
      <c r="A113" s="70" t="s">
        <v>106</v>
      </c>
      <c r="B113" s="71" t="e">
        <f>bkva*1*480/365*'védett övezet árak '!$A108</f>
        <v>#REF!</v>
      </c>
      <c r="C113" s="71" t="e">
        <f>bkva*2*480/365*'védett övezet árak '!$A108</f>
        <v>#REF!</v>
      </c>
      <c r="D113" s="71" t="e">
        <f>bkva*2*480/365*'védett övezet árak '!$A108</f>
        <v>#REF!</v>
      </c>
      <c r="E113" s="71" t="e">
        <f>bkva*3*480/365*'védett övezet árak '!$A108</f>
        <v>#REF!</v>
      </c>
      <c r="F113" s="71" t="e">
        <f>bkva*3*480/365*'védett övezet árak '!$A108</f>
        <v>#REF!</v>
      </c>
      <c r="G113" s="71" t="e">
        <f>bkva*3*480/365*'védett övezet árak '!$A108</f>
        <v>#REF!</v>
      </c>
      <c r="H113" s="71" t="e">
        <f>bkva*6*480/365*'védett övezet árak '!$A108</f>
        <v>#REF!</v>
      </c>
    </row>
    <row r="114" spans="1:8" ht="15.75" customHeight="1" thickBot="1" x14ac:dyDescent="0.3">
      <c r="A114" s="70" t="s">
        <v>107</v>
      </c>
      <c r="B114" s="71" t="e">
        <f>bkva*1*576/365*'védett övezet árak '!$A108</f>
        <v>#REF!</v>
      </c>
      <c r="C114" s="71" t="e">
        <f>bkva*2*576/365*'védett övezet árak '!$A108</f>
        <v>#REF!</v>
      </c>
      <c r="D114" s="71" t="e">
        <f>bkva*2*576/365*'védett övezet árak '!$A108</f>
        <v>#REF!</v>
      </c>
      <c r="E114" s="71" t="e">
        <f>bkva*3*576/365*'védett övezet árak '!$A108</f>
        <v>#REF!</v>
      </c>
      <c r="F114" s="71" t="e">
        <f>bkva*3*576/365*'védett övezet árak '!$A108</f>
        <v>#REF!</v>
      </c>
      <c r="G114" s="71" t="e">
        <f>bkva*3*576/365*'védett övezet árak '!$A108</f>
        <v>#REF!</v>
      </c>
      <c r="H114" s="71" t="e">
        <f>bkva*6*576/365*'védett övezet árak '!$A108</f>
        <v>#REF!</v>
      </c>
    </row>
    <row r="115" spans="1:8" ht="15.75" customHeight="1" thickBot="1" x14ac:dyDescent="0.3">
      <c r="A115" s="70" t="s">
        <v>109</v>
      </c>
      <c r="B115" s="71" t="e">
        <f>bkva*1*3650/365*'védett övezet árak '!$A108</f>
        <v>#REF!</v>
      </c>
      <c r="C115" s="71" t="e">
        <f>bkva*2*3650/365*'védett övezet árak '!$A108</f>
        <v>#REF!</v>
      </c>
      <c r="D115" s="71" t="e">
        <f>bkva*2*3650/365*'védett övezet árak '!$A108</f>
        <v>#REF!</v>
      </c>
      <c r="E115" s="71" t="e">
        <f>bkva*3*3650/365*'védett övezet árak '!$A108</f>
        <v>#REF!</v>
      </c>
      <c r="F115" s="71" t="e">
        <f>bkva*3*3650/365*'védett övezet árak '!$A108</f>
        <v>#REF!</v>
      </c>
      <c r="G115" s="71" t="e">
        <f>bkva*3*3650/365*'védett övezet árak '!$A108</f>
        <v>#REF!</v>
      </c>
      <c r="H115" s="71" t="e">
        <f>bkva*6*3650/365*'védett övezet árak '!$A108</f>
        <v>#REF!</v>
      </c>
    </row>
    <row r="116" spans="1:8" ht="13" thickBot="1" x14ac:dyDescent="0.3">
      <c r="A116" s="74"/>
      <c r="B116" s="75"/>
      <c r="C116" s="75"/>
      <c r="D116" s="75"/>
      <c r="E116" s="75"/>
      <c r="F116" s="75"/>
      <c r="G116" s="75"/>
      <c r="H116" s="76"/>
    </row>
    <row r="117" spans="1:8" ht="16" thickBot="1" x14ac:dyDescent="0.3">
      <c r="A117" s="77">
        <v>7</v>
      </c>
      <c r="B117" s="75"/>
      <c r="C117" s="75"/>
      <c r="D117" s="75"/>
      <c r="E117" s="75"/>
      <c r="F117" s="75"/>
      <c r="G117" s="75"/>
      <c r="H117" s="76"/>
    </row>
    <row r="118" spans="1:8" ht="15.5" thickBot="1" x14ac:dyDescent="0.3">
      <c r="A118" s="329" t="s">
        <v>94</v>
      </c>
      <c r="B118" s="331" t="s">
        <v>95</v>
      </c>
      <c r="C118" s="333" t="s">
        <v>96</v>
      </c>
      <c r="D118" s="334"/>
      <c r="E118" s="334"/>
      <c r="F118" s="334"/>
      <c r="G118" s="334"/>
      <c r="H118" s="335"/>
    </row>
    <row r="119" spans="1:8" ht="15.5" thickBot="1" x14ac:dyDescent="0.3">
      <c r="A119" s="330"/>
      <c r="B119" s="332"/>
      <c r="C119" s="68" t="s">
        <v>97</v>
      </c>
      <c r="D119" s="68" t="s">
        <v>98</v>
      </c>
      <c r="E119" s="68" t="s">
        <v>99</v>
      </c>
      <c r="F119" s="68" t="s">
        <v>100</v>
      </c>
      <c r="G119" s="68" t="s">
        <v>101</v>
      </c>
      <c r="H119" s="69" t="s">
        <v>102</v>
      </c>
    </row>
    <row r="120" spans="1:8" ht="15.5" thickBot="1" x14ac:dyDescent="0.3">
      <c r="A120" s="70" t="s">
        <v>103</v>
      </c>
      <c r="B120" s="71"/>
      <c r="C120" s="72" t="s">
        <v>61</v>
      </c>
      <c r="D120" s="72" t="s">
        <v>61</v>
      </c>
      <c r="E120" s="72" t="s">
        <v>61</v>
      </c>
      <c r="F120" s="72" t="s">
        <v>61</v>
      </c>
      <c r="G120" s="68" t="s">
        <v>61</v>
      </c>
      <c r="H120" s="69" t="s">
        <v>61</v>
      </c>
    </row>
    <row r="121" spans="1:8" ht="15.5" thickBot="1" x14ac:dyDescent="0.3">
      <c r="A121" s="70" t="s">
        <v>105</v>
      </c>
      <c r="B121" s="71" t="e">
        <f>bkva*1*480/365*'védett övezet árak '!$A117</f>
        <v>#REF!</v>
      </c>
      <c r="C121" s="71" t="e">
        <f>bkva*2*480/365*'védett övezet árak '!$A117</f>
        <v>#REF!</v>
      </c>
      <c r="D121" s="71" t="e">
        <f>bkva*2*480/365*'védett övezet árak '!$A117</f>
        <v>#REF!</v>
      </c>
      <c r="E121" s="71" t="e">
        <f>bkva*3*480/365*'védett övezet árak '!$A117</f>
        <v>#REF!</v>
      </c>
      <c r="F121" s="71" t="e">
        <f>bkva*3*480/365*'védett övezet árak '!$A117</f>
        <v>#REF!</v>
      </c>
      <c r="G121" s="71" t="e">
        <f>bkva*3*480/365*'védett övezet árak '!$A117</f>
        <v>#REF!</v>
      </c>
      <c r="H121" s="71" t="e">
        <f>bkva*6*480/365*'védett övezet árak '!$A117</f>
        <v>#REF!</v>
      </c>
    </row>
    <row r="122" spans="1:8" ht="15.5" thickBot="1" x14ac:dyDescent="0.3">
      <c r="A122" s="70" t="s">
        <v>106</v>
      </c>
      <c r="B122" s="71" t="e">
        <f>bkva*1*480/365*'védett övezet árak '!$A117</f>
        <v>#REF!</v>
      </c>
      <c r="C122" s="71" t="e">
        <f>bkva*2*480/365*'védett övezet árak '!$A117</f>
        <v>#REF!</v>
      </c>
      <c r="D122" s="71" t="e">
        <f>bkva*2*480/365*'védett övezet árak '!$A117</f>
        <v>#REF!</v>
      </c>
      <c r="E122" s="71" t="e">
        <f>bkva*3*480/365*'védett övezet árak '!$A117</f>
        <v>#REF!</v>
      </c>
      <c r="F122" s="71" t="e">
        <f>bkva*3*480/365*'védett övezet árak '!$A117</f>
        <v>#REF!</v>
      </c>
      <c r="G122" s="71" t="e">
        <f>bkva*3*480/365*'védett övezet árak '!$A117</f>
        <v>#REF!</v>
      </c>
      <c r="H122" s="71" t="e">
        <f>bkva*6*480/365*'védett övezet árak '!$A117</f>
        <v>#REF!</v>
      </c>
    </row>
    <row r="123" spans="1:8" ht="15.5" thickBot="1" x14ac:dyDescent="0.3">
      <c r="A123" s="70" t="s">
        <v>107</v>
      </c>
      <c r="B123" s="71" t="e">
        <f>bkva*1*576/365*'védett övezet árak '!$A117</f>
        <v>#REF!</v>
      </c>
      <c r="C123" s="71" t="e">
        <f>bkva*2*576/365*'védett övezet árak '!$A117</f>
        <v>#REF!</v>
      </c>
      <c r="D123" s="71" t="e">
        <f>bkva*2*576/365*'védett övezet árak '!$A117</f>
        <v>#REF!</v>
      </c>
      <c r="E123" s="71" t="e">
        <f>bkva*3*576/365*'védett övezet árak '!$A117</f>
        <v>#REF!</v>
      </c>
      <c r="F123" s="71" t="e">
        <f>bkva*3*576/365*'védett övezet árak '!$A117</f>
        <v>#REF!</v>
      </c>
      <c r="G123" s="71" t="e">
        <f>bkva*3*576/365*'védett övezet árak '!$A117</f>
        <v>#REF!</v>
      </c>
      <c r="H123" s="71" t="e">
        <f>bkva*6*576/365*'védett övezet árak '!$A117</f>
        <v>#REF!</v>
      </c>
    </row>
    <row r="124" spans="1:8" ht="15.5" thickBot="1" x14ac:dyDescent="0.3">
      <c r="A124" s="70" t="s">
        <v>109</v>
      </c>
      <c r="B124" s="71" t="e">
        <f>bkva*1*3650/365*'védett övezet árak '!$A117</f>
        <v>#REF!</v>
      </c>
      <c r="C124" s="71" t="e">
        <f>bkva*2*3650/365*'védett övezet árak '!$A117</f>
        <v>#REF!</v>
      </c>
      <c r="D124" s="71" t="e">
        <f>bkva*2*3650/365*'védett övezet árak '!$A117</f>
        <v>#REF!</v>
      </c>
      <c r="E124" s="71" t="e">
        <f>bkva*3*3650/365*'védett övezet árak '!$A117</f>
        <v>#REF!</v>
      </c>
      <c r="F124" s="71" t="e">
        <f>bkva*3*3650/365*'védett övezet árak '!$A117</f>
        <v>#REF!</v>
      </c>
      <c r="G124" s="71" t="e">
        <f>bkva*3*3650/365*'védett övezet árak '!$A117</f>
        <v>#REF!</v>
      </c>
      <c r="H124" s="71" t="e">
        <f>bkva*6*3650/365*'védett övezet árak '!$A117</f>
        <v>#REF!</v>
      </c>
    </row>
    <row r="125" spans="1:8" ht="13" thickBot="1" x14ac:dyDescent="0.3">
      <c r="A125" s="74"/>
      <c r="B125" s="75"/>
      <c r="C125" s="75"/>
      <c r="D125" s="75"/>
      <c r="E125" s="75"/>
      <c r="F125" s="75"/>
      <c r="G125" s="75"/>
      <c r="H125" s="76"/>
    </row>
    <row r="126" spans="1:8" ht="16" thickBot="1" x14ac:dyDescent="0.3">
      <c r="A126" s="77">
        <v>15</v>
      </c>
      <c r="B126" s="75"/>
      <c r="C126" s="75"/>
      <c r="D126" s="75"/>
      <c r="E126" s="75"/>
      <c r="F126" s="75"/>
      <c r="G126" s="75"/>
      <c r="H126" s="76"/>
    </row>
    <row r="127" spans="1:8" ht="15.5" thickBot="1" x14ac:dyDescent="0.3">
      <c r="A127" s="329" t="s">
        <v>94</v>
      </c>
      <c r="B127" s="331" t="s">
        <v>95</v>
      </c>
      <c r="C127" s="333" t="s">
        <v>96</v>
      </c>
      <c r="D127" s="334"/>
      <c r="E127" s="334"/>
      <c r="F127" s="334"/>
      <c r="G127" s="334"/>
      <c r="H127" s="335"/>
    </row>
    <row r="128" spans="1:8" ht="15.5" thickBot="1" x14ac:dyDescent="0.3">
      <c r="A128" s="330"/>
      <c r="B128" s="332"/>
      <c r="C128" s="68" t="s">
        <v>97</v>
      </c>
      <c r="D128" s="68" t="s">
        <v>98</v>
      </c>
      <c r="E128" s="68" t="s">
        <v>99</v>
      </c>
      <c r="F128" s="68" t="s">
        <v>100</v>
      </c>
      <c r="G128" s="68" t="s">
        <v>101</v>
      </c>
      <c r="H128" s="69" t="s">
        <v>102</v>
      </c>
    </row>
    <row r="129" spans="1:8" ht="15.5" thickBot="1" x14ac:dyDescent="0.3">
      <c r="A129" s="70" t="s">
        <v>103</v>
      </c>
      <c r="B129" s="71"/>
      <c r="C129" s="72" t="s">
        <v>61</v>
      </c>
      <c r="D129" s="72" t="s">
        <v>61</v>
      </c>
      <c r="E129" s="72" t="s">
        <v>61</v>
      </c>
      <c r="F129" s="72" t="s">
        <v>61</v>
      </c>
      <c r="G129" s="68" t="s">
        <v>61</v>
      </c>
      <c r="H129" s="69" t="s">
        <v>61</v>
      </c>
    </row>
    <row r="130" spans="1:8" ht="15.5" thickBot="1" x14ac:dyDescent="0.3">
      <c r="A130" s="70" t="s">
        <v>105</v>
      </c>
      <c r="B130" s="71" t="e">
        <f>bkva*1*480/365*'védett övezet árak '!$A126</f>
        <v>#REF!</v>
      </c>
      <c r="C130" s="71" t="e">
        <f>bkva*2*480/365*'védett övezet árak '!$A126</f>
        <v>#REF!</v>
      </c>
      <c r="D130" s="71" t="e">
        <f>bkva*2*480/365*'védett övezet árak '!$A126</f>
        <v>#REF!</v>
      </c>
      <c r="E130" s="71" t="e">
        <f>bkva*3*480/365*'védett övezet árak '!$A126</f>
        <v>#REF!</v>
      </c>
      <c r="F130" s="71" t="e">
        <f>bkva*3*480/365*'védett övezet árak '!$A126</f>
        <v>#REF!</v>
      </c>
      <c r="G130" s="71" t="e">
        <f>bkva*3*480/365*'védett övezet árak '!$A126</f>
        <v>#REF!</v>
      </c>
      <c r="H130" s="71" t="e">
        <f>bkva*6*480/365*'védett övezet árak '!$A126</f>
        <v>#REF!</v>
      </c>
    </row>
    <row r="131" spans="1:8" ht="15.5" thickBot="1" x14ac:dyDescent="0.3">
      <c r="A131" s="70" t="s">
        <v>106</v>
      </c>
      <c r="B131" s="71" t="e">
        <f>bkva*1*480/365*'védett övezet árak '!$A126</f>
        <v>#REF!</v>
      </c>
      <c r="C131" s="71" t="e">
        <f>bkva*2*480/365*'védett övezet árak '!$A126</f>
        <v>#REF!</v>
      </c>
      <c r="D131" s="71" t="e">
        <f>bkva*2*480/365*'védett övezet árak '!$A126</f>
        <v>#REF!</v>
      </c>
      <c r="E131" s="71" t="e">
        <f>bkva*3*480/365*'védett övezet árak '!$A126</f>
        <v>#REF!</v>
      </c>
      <c r="F131" s="71" t="e">
        <f>bkva*3*480/365*'védett övezet árak '!$A126</f>
        <v>#REF!</v>
      </c>
      <c r="G131" s="71" t="e">
        <f>bkva*3*480/365*'védett övezet árak '!$A126</f>
        <v>#REF!</v>
      </c>
      <c r="H131" s="71" t="e">
        <f>bkva*6*480/365*'védett övezet árak '!$A126</f>
        <v>#REF!</v>
      </c>
    </row>
    <row r="132" spans="1:8" ht="15.5" thickBot="1" x14ac:dyDescent="0.3">
      <c r="A132" s="70" t="s">
        <v>107</v>
      </c>
      <c r="B132" s="71" t="e">
        <f>bkva*1*576/365*'védett övezet árak '!$A126</f>
        <v>#REF!</v>
      </c>
      <c r="C132" s="71" t="e">
        <f>bkva*2*576/365*'védett övezet árak '!$A126</f>
        <v>#REF!</v>
      </c>
      <c r="D132" s="71" t="e">
        <f>bkva*2*576/365*'védett övezet árak '!$A126</f>
        <v>#REF!</v>
      </c>
      <c r="E132" s="71" t="e">
        <f>bkva*3*576/365*'védett övezet árak '!$A126</f>
        <v>#REF!</v>
      </c>
      <c r="F132" s="71" t="e">
        <f>bkva*3*576/365*'védett övezet árak '!$A126</f>
        <v>#REF!</v>
      </c>
      <c r="G132" s="71" t="e">
        <f>bkva*3*576/365*'védett övezet árak '!$A126</f>
        <v>#REF!</v>
      </c>
      <c r="H132" s="71" t="e">
        <f>bkva*6*576/365*'védett övezet árak '!$A126</f>
        <v>#REF!</v>
      </c>
    </row>
    <row r="133" spans="1:8" ht="15.5" thickBot="1" x14ac:dyDescent="0.3">
      <c r="A133" s="70" t="s">
        <v>109</v>
      </c>
      <c r="B133" s="71" t="e">
        <f>bkva*1*3650/365*'védett övezet árak '!$A126</f>
        <v>#REF!</v>
      </c>
      <c r="C133" s="71" t="e">
        <f>bkva*2*3650/365*'védett övezet árak '!$A126</f>
        <v>#REF!</v>
      </c>
      <c r="D133" s="71" t="e">
        <f>bkva*2*3650/365*'védett övezet árak '!$A126</f>
        <v>#REF!</v>
      </c>
      <c r="E133" s="71" t="e">
        <f>bkva*3*3650/365*'védett övezet árak '!$A126</f>
        <v>#REF!</v>
      </c>
      <c r="F133" s="71" t="e">
        <f>bkva*3*3650/365*'védett övezet árak '!$A126</f>
        <v>#REF!</v>
      </c>
      <c r="G133" s="71" t="e">
        <f>bkva*3*3650/365*'védett övezet árak '!$A126</f>
        <v>#REF!</v>
      </c>
      <c r="H133" s="71" t="e">
        <f>bkva*6*3650/365*'védett övezet árak '!$A126</f>
        <v>#REF!</v>
      </c>
    </row>
    <row r="134" spans="1:8" ht="13" thickBot="1" x14ac:dyDescent="0.3">
      <c r="A134" s="74"/>
      <c r="B134" s="75"/>
      <c r="C134" s="75"/>
      <c r="D134" s="75"/>
      <c r="E134" s="75"/>
      <c r="F134" s="75"/>
      <c r="G134" s="75"/>
      <c r="H134" s="76"/>
    </row>
    <row r="135" spans="1:8" ht="16" thickBot="1" x14ac:dyDescent="0.3">
      <c r="A135" s="77">
        <v>30</v>
      </c>
      <c r="B135" s="75"/>
      <c r="C135" s="75"/>
      <c r="D135" s="75"/>
      <c r="E135" s="75"/>
      <c r="F135" s="75"/>
      <c r="G135" s="75"/>
      <c r="H135" s="76"/>
    </row>
    <row r="136" spans="1:8" ht="15.5" thickBot="1" x14ac:dyDescent="0.3">
      <c r="A136" s="329" t="s">
        <v>94</v>
      </c>
      <c r="B136" s="331" t="s">
        <v>95</v>
      </c>
      <c r="C136" s="333" t="s">
        <v>96</v>
      </c>
      <c r="D136" s="334"/>
      <c r="E136" s="334"/>
      <c r="F136" s="334"/>
      <c r="G136" s="334"/>
      <c r="H136" s="335"/>
    </row>
    <row r="137" spans="1:8" ht="15.5" thickBot="1" x14ac:dyDescent="0.3">
      <c r="A137" s="330"/>
      <c r="B137" s="332"/>
      <c r="C137" s="68" t="s">
        <v>97</v>
      </c>
      <c r="D137" s="68" t="s">
        <v>98</v>
      </c>
      <c r="E137" s="68" t="s">
        <v>99</v>
      </c>
      <c r="F137" s="68" t="s">
        <v>100</v>
      </c>
      <c r="G137" s="68" t="s">
        <v>101</v>
      </c>
      <c r="H137" s="69" t="s">
        <v>102</v>
      </c>
    </row>
    <row r="138" spans="1:8" ht="15.5" thickBot="1" x14ac:dyDescent="0.3">
      <c r="A138" s="70" t="s">
        <v>103</v>
      </c>
      <c r="B138" s="71"/>
      <c r="C138" s="72" t="s">
        <v>61</v>
      </c>
      <c r="D138" s="72" t="s">
        <v>61</v>
      </c>
      <c r="E138" s="72" t="s">
        <v>61</v>
      </c>
      <c r="F138" s="72" t="s">
        <v>61</v>
      </c>
      <c r="G138" s="68" t="s">
        <v>61</v>
      </c>
      <c r="H138" s="69" t="s">
        <v>61</v>
      </c>
    </row>
    <row r="139" spans="1:8" ht="15.5" thickBot="1" x14ac:dyDescent="0.3">
      <c r="A139" s="70" t="s">
        <v>105</v>
      </c>
      <c r="B139" s="71" t="e">
        <f>bkva*1*480/365*'védett övezet árak '!$A135</f>
        <v>#REF!</v>
      </c>
      <c r="C139" s="71" t="e">
        <f>bkva*2*480/365*'védett övezet árak '!$A135</f>
        <v>#REF!</v>
      </c>
      <c r="D139" s="71" t="e">
        <f>bkva*2*480/365*'védett övezet árak '!$A135</f>
        <v>#REF!</v>
      </c>
      <c r="E139" s="71" t="e">
        <f>bkva*3*480/365*'védett övezet árak '!$A135</f>
        <v>#REF!</v>
      </c>
      <c r="F139" s="71" t="e">
        <f>bkva*3*480/365*'védett övezet árak '!$A135</f>
        <v>#REF!</v>
      </c>
      <c r="G139" s="71" t="e">
        <f>bkva*3*480/365*'védett övezet árak '!$A135</f>
        <v>#REF!</v>
      </c>
      <c r="H139" s="71" t="e">
        <f>bkva*6*480/365*'védett övezet árak '!$A135</f>
        <v>#REF!</v>
      </c>
    </row>
    <row r="140" spans="1:8" ht="15.5" thickBot="1" x14ac:dyDescent="0.3">
      <c r="A140" s="70" t="s">
        <v>106</v>
      </c>
      <c r="B140" s="71" t="e">
        <f>bkva*1*480/365*'védett övezet árak '!$A135</f>
        <v>#REF!</v>
      </c>
      <c r="C140" s="71" t="e">
        <f>bkva*2*480/365*'védett övezet árak '!$A135</f>
        <v>#REF!</v>
      </c>
      <c r="D140" s="71" t="e">
        <f>bkva*2*480/365*'védett övezet árak '!$A135</f>
        <v>#REF!</v>
      </c>
      <c r="E140" s="71" t="e">
        <f>bkva*3*480/365*'védett övezet árak '!$A135</f>
        <v>#REF!</v>
      </c>
      <c r="F140" s="71" t="e">
        <f>bkva*3*480/365*'védett övezet árak '!$A135</f>
        <v>#REF!</v>
      </c>
      <c r="G140" s="71" t="e">
        <f>bkva*3*480/365*'védett övezet árak '!$A135</f>
        <v>#REF!</v>
      </c>
      <c r="H140" s="71" t="e">
        <f>bkva*6*480/365*'védett övezet árak '!$A135</f>
        <v>#REF!</v>
      </c>
    </row>
    <row r="141" spans="1:8" ht="15.5" thickBot="1" x14ac:dyDescent="0.3">
      <c r="A141" s="70" t="s">
        <v>107</v>
      </c>
      <c r="B141" s="71" t="e">
        <f>bkva*1*576/365*'védett övezet árak '!$A135</f>
        <v>#REF!</v>
      </c>
      <c r="C141" s="71" t="e">
        <f>bkva*2*576/365*'védett övezet árak '!$A135</f>
        <v>#REF!</v>
      </c>
      <c r="D141" s="71" t="e">
        <f>bkva*2*576/365*'védett övezet árak '!$A135</f>
        <v>#REF!</v>
      </c>
      <c r="E141" s="71" t="e">
        <f>bkva*3*576/365*'védett övezet árak '!$A135</f>
        <v>#REF!</v>
      </c>
      <c r="F141" s="71" t="e">
        <f>bkva*3*576/365*'védett övezet árak '!$A135</f>
        <v>#REF!</v>
      </c>
      <c r="G141" s="71" t="e">
        <f>bkva*3*576/365*'védett övezet árak '!$A135</f>
        <v>#REF!</v>
      </c>
      <c r="H141" s="71" t="e">
        <f>bkva*6*576/365*'védett övezet árak '!$A135</f>
        <v>#REF!</v>
      </c>
    </row>
    <row r="142" spans="1:8" ht="15.5" thickBot="1" x14ac:dyDescent="0.3">
      <c r="A142" s="70" t="s">
        <v>109</v>
      </c>
      <c r="B142" s="71" t="e">
        <f>bkva*1*3650/365*'védett övezet árak '!$A135</f>
        <v>#REF!</v>
      </c>
      <c r="C142" s="71" t="e">
        <f>bkva*2*3650/365*'védett övezet árak '!$A135</f>
        <v>#REF!</v>
      </c>
      <c r="D142" s="71" t="e">
        <f>bkva*2*3650/365*'védett övezet árak '!$A135</f>
        <v>#REF!</v>
      </c>
      <c r="E142" s="71" t="e">
        <f>bkva*3*3650/365*'védett övezet árak '!$A135</f>
        <v>#REF!</v>
      </c>
      <c r="F142" s="71" t="e">
        <f>bkva*3*3650/365*'védett övezet árak '!$A135</f>
        <v>#REF!</v>
      </c>
      <c r="G142" s="71" t="e">
        <f>bkva*3*3650/365*'védett övezet árak '!$A135</f>
        <v>#REF!</v>
      </c>
      <c r="H142" s="71" t="e">
        <f>bkva*6*3650/365*'védett övezet árak '!$A135</f>
        <v>#REF!</v>
      </c>
    </row>
    <row r="143" spans="1:8" ht="13" thickBot="1" x14ac:dyDescent="0.3">
      <c r="A143" s="74"/>
      <c r="B143" s="75"/>
      <c r="C143" s="75"/>
      <c r="D143" s="75"/>
      <c r="E143" s="75"/>
      <c r="F143" s="75"/>
      <c r="G143" s="75"/>
      <c r="H143" s="76"/>
    </row>
    <row r="144" spans="1:8" ht="16" thickBot="1" x14ac:dyDescent="0.3">
      <c r="A144" s="77">
        <v>180</v>
      </c>
      <c r="B144" s="75"/>
      <c r="C144" s="75"/>
      <c r="D144" s="75"/>
      <c r="E144" s="75"/>
      <c r="F144" s="75"/>
      <c r="G144" s="75"/>
      <c r="H144" s="76"/>
    </row>
    <row r="145" spans="1:8" ht="15.5" thickBot="1" x14ac:dyDescent="0.3">
      <c r="A145" s="329" t="s">
        <v>94</v>
      </c>
      <c r="B145" s="331" t="s">
        <v>95</v>
      </c>
      <c r="C145" s="333" t="s">
        <v>96</v>
      </c>
      <c r="D145" s="334"/>
      <c r="E145" s="334"/>
      <c r="F145" s="334"/>
      <c r="G145" s="334"/>
      <c r="H145" s="335"/>
    </row>
    <row r="146" spans="1:8" ht="15.5" thickBot="1" x14ac:dyDescent="0.3">
      <c r="A146" s="330"/>
      <c r="B146" s="332"/>
      <c r="C146" s="68" t="s">
        <v>97</v>
      </c>
      <c r="D146" s="68" t="s">
        <v>98</v>
      </c>
      <c r="E146" s="68" t="s">
        <v>99</v>
      </c>
      <c r="F146" s="68" t="s">
        <v>100</v>
      </c>
      <c r="G146" s="68" t="s">
        <v>101</v>
      </c>
      <c r="H146" s="69" t="s">
        <v>102</v>
      </c>
    </row>
    <row r="147" spans="1:8" ht="15.5" thickBot="1" x14ac:dyDescent="0.3">
      <c r="A147" s="70" t="s">
        <v>103</v>
      </c>
      <c r="B147" s="71"/>
      <c r="C147" s="72" t="s">
        <v>61</v>
      </c>
      <c r="D147" s="72" t="s">
        <v>61</v>
      </c>
      <c r="E147" s="72" t="s">
        <v>61</v>
      </c>
      <c r="F147" s="72" t="s">
        <v>61</v>
      </c>
      <c r="G147" s="68" t="s">
        <v>61</v>
      </c>
      <c r="H147" s="69" t="s">
        <v>61</v>
      </c>
    </row>
    <row r="148" spans="1:8" ht="15.5" thickBot="1" x14ac:dyDescent="0.3">
      <c r="A148" s="70" t="s">
        <v>105</v>
      </c>
      <c r="B148" s="71" t="e">
        <f>bkva*1*480/365*'védett övezet árak '!$A144</f>
        <v>#REF!</v>
      </c>
      <c r="C148" s="71" t="e">
        <f>bkva*2*480/365*'védett övezet árak '!$A144</f>
        <v>#REF!</v>
      </c>
      <c r="D148" s="71" t="e">
        <f>bkva*2*480/365*'védett övezet árak '!$A144</f>
        <v>#REF!</v>
      </c>
      <c r="E148" s="71" t="e">
        <f>bkva*3*480/365*'védett övezet árak '!$A144</f>
        <v>#REF!</v>
      </c>
      <c r="F148" s="71" t="e">
        <f>bkva*3*480/365*'védett övezet árak '!$A144</f>
        <v>#REF!</v>
      </c>
      <c r="G148" s="71" t="e">
        <f>bkva*3*480/365*'védett övezet árak '!$A144</f>
        <v>#REF!</v>
      </c>
      <c r="H148" s="71" t="e">
        <f>bkva*6*480/365*'védett övezet árak '!$A144</f>
        <v>#REF!</v>
      </c>
    </row>
    <row r="149" spans="1:8" ht="15.5" thickBot="1" x14ac:dyDescent="0.3">
      <c r="A149" s="70" t="s">
        <v>106</v>
      </c>
      <c r="B149" s="71" t="e">
        <f>bkva*1*480/365*'védett övezet árak '!$A144</f>
        <v>#REF!</v>
      </c>
      <c r="C149" s="71" t="e">
        <f>bkva*2*480/365*'védett övezet árak '!$A144</f>
        <v>#REF!</v>
      </c>
      <c r="D149" s="71" t="e">
        <f>bkva*2*480/365*'védett övezet árak '!$A144</f>
        <v>#REF!</v>
      </c>
      <c r="E149" s="71" t="e">
        <f>bkva*3*480/365*'védett övezet árak '!$A144</f>
        <v>#REF!</v>
      </c>
      <c r="F149" s="71" t="e">
        <f>bkva*3*480/365*'védett övezet árak '!$A144</f>
        <v>#REF!</v>
      </c>
      <c r="G149" s="71" t="e">
        <f>bkva*3*480/365*'védett övezet árak '!$A144</f>
        <v>#REF!</v>
      </c>
      <c r="H149" s="71" t="e">
        <f>bkva*6*480/365*'védett övezet árak '!$A144</f>
        <v>#REF!</v>
      </c>
    </row>
    <row r="150" spans="1:8" ht="15.5" thickBot="1" x14ac:dyDescent="0.3">
      <c r="A150" s="70" t="s">
        <v>107</v>
      </c>
      <c r="B150" s="71" t="e">
        <f>bkva*1*576/365*'védett övezet árak '!$A144</f>
        <v>#REF!</v>
      </c>
      <c r="C150" s="71" t="e">
        <f>bkva*2*576/365*'védett övezet árak '!$A144</f>
        <v>#REF!</v>
      </c>
      <c r="D150" s="71" t="e">
        <f>bkva*2*576/365*'védett övezet árak '!$A144</f>
        <v>#REF!</v>
      </c>
      <c r="E150" s="71" t="e">
        <f>bkva*3*576/365*'védett övezet árak '!$A144</f>
        <v>#REF!</v>
      </c>
      <c r="F150" s="71" t="e">
        <f>bkva*3*576/365*'védett övezet árak '!$A144</f>
        <v>#REF!</v>
      </c>
      <c r="G150" s="71" t="e">
        <f>bkva*3*576/365*'védett övezet árak '!$A144</f>
        <v>#REF!</v>
      </c>
      <c r="H150" s="71" t="e">
        <f>bkva*6*576/365*'védett övezet árak '!$A144</f>
        <v>#REF!</v>
      </c>
    </row>
    <row r="151" spans="1:8" ht="15.5" thickBot="1" x14ac:dyDescent="0.3">
      <c r="A151" s="70" t="s">
        <v>109</v>
      </c>
      <c r="B151" s="71" t="e">
        <f>bkva*1*3650/365*'védett övezet árak '!$A144</f>
        <v>#REF!</v>
      </c>
      <c r="C151" s="71" t="e">
        <f>bkva*2*3650/365*'védett övezet árak '!$A144</f>
        <v>#REF!</v>
      </c>
      <c r="D151" s="71" t="e">
        <f>bkva*2*3650/365*'védett övezet árak '!$A144</f>
        <v>#REF!</v>
      </c>
      <c r="E151" s="71" t="e">
        <f>bkva*3*3650/365*'védett övezet árak '!$A144</f>
        <v>#REF!</v>
      </c>
      <c r="F151" s="71" t="e">
        <f>bkva*3*3650/365*'védett övezet árak '!$A144</f>
        <v>#REF!</v>
      </c>
      <c r="G151" s="71" t="e">
        <f>bkva*3*3650/365*'védett övezet árak '!$A144</f>
        <v>#REF!</v>
      </c>
      <c r="H151" s="71" t="e">
        <f>bkva*6*3650/365*'védett övezet árak '!$A144</f>
        <v>#REF!</v>
      </c>
    </row>
    <row r="152" spans="1:8" ht="13" thickBot="1" x14ac:dyDescent="0.3">
      <c r="A152" s="74"/>
      <c r="B152" s="75"/>
      <c r="C152" s="75"/>
      <c r="D152" s="75"/>
      <c r="E152" s="75"/>
      <c r="F152" s="75"/>
      <c r="G152" s="75"/>
      <c r="H152" s="76"/>
    </row>
    <row r="153" spans="1:8" ht="16" thickBot="1" x14ac:dyDescent="0.3">
      <c r="A153" s="77">
        <v>360</v>
      </c>
      <c r="B153" s="75"/>
      <c r="C153" s="75"/>
      <c r="D153" s="75"/>
      <c r="E153" s="75"/>
      <c r="F153" s="75"/>
      <c r="G153" s="75"/>
      <c r="H153" s="76"/>
    </row>
    <row r="154" spans="1:8" ht="15.5" thickBot="1" x14ac:dyDescent="0.3">
      <c r="A154" s="329" t="s">
        <v>94</v>
      </c>
      <c r="B154" s="331" t="s">
        <v>95</v>
      </c>
      <c r="C154" s="333" t="s">
        <v>96</v>
      </c>
      <c r="D154" s="334"/>
      <c r="E154" s="334"/>
      <c r="F154" s="334"/>
      <c r="G154" s="334"/>
      <c r="H154" s="335"/>
    </row>
    <row r="155" spans="1:8" ht="15.5" thickBot="1" x14ac:dyDescent="0.3">
      <c r="A155" s="330"/>
      <c r="B155" s="332"/>
      <c r="C155" s="79" t="s">
        <v>97</v>
      </c>
      <c r="D155" s="79" t="s">
        <v>98</v>
      </c>
      <c r="E155" s="79" t="s">
        <v>112</v>
      </c>
      <c r="F155" s="79" t="s">
        <v>100</v>
      </c>
      <c r="G155" s="79" t="s">
        <v>113</v>
      </c>
      <c r="H155" s="80" t="s">
        <v>114</v>
      </c>
    </row>
    <row r="156" spans="1:8" ht="15.5" thickBot="1" x14ac:dyDescent="0.3">
      <c r="A156" s="70" t="s">
        <v>103</v>
      </c>
      <c r="B156" s="71"/>
      <c r="C156" s="72" t="s">
        <v>61</v>
      </c>
      <c r="D156" s="72" t="s">
        <v>61</v>
      </c>
      <c r="E156" s="72" t="s">
        <v>61</v>
      </c>
      <c r="F156" s="72" t="s">
        <v>61</v>
      </c>
      <c r="G156" s="68" t="s">
        <v>61</v>
      </c>
      <c r="H156" s="69" t="s">
        <v>61</v>
      </c>
    </row>
    <row r="157" spans="1:8" ht="15.5" thickBot="1" x14ac:dyDescent="0.3">
      <c r="A157" s="70" t="s">
        <v>105</v>
      </c>
      <c r="B157" s="71" t="e">
        <f>bkva*1*480/365*'védett övezet árak '!$A153</f>
        <v>#REF!</v>
      </c>
      <c r="C157" s="71" t="e">
        <f>bkva*2*480/365*'védett övezet árak '!$A153</f>
        <v>#REF!</v>
      </c>
      <c r="D157" s="71" t="e">
        <f>bkva*2*480/365*'védett övezet árak '!$A153</f>
        <v>#REF!</v>
      </c>
      <c r="E157" s="71" t="e">
        <f>bkva*3*480/365*'védett övezet árak '!$A153</f>
        <v>#REF!</v>
      </c>
      <c r="F157" s="71" t="e">
        <f>bkva*3*480/365*'védett övezet árak '!$A153</f>
        <v>#REF!</v>
      </c>
      <c r="G157" s="71" t="e">
        <f>bkva*3*480/365*'védett övezet árak '!$A153</f>
        <v>#REF!</v>
      </c>
      <c r="H157" s="71" t="e">
        <f>bkva*6*480/365*'védett övezet árak '!$A153</f>
        <v>#REF!</v>
      </c>
    </row>
    <row r="158" spans="1:8" ht="15.5" thickBot="1" x14ac:dyDescent="0.3">
      <c r="A158" s="70" t="s">
        <v>106</v>
      </c>
      <c r="B158" s="71" t="e">
        <f>bkva*1*480/365*'védett övezet árak '!$A153</f>
        <v>#REF!</v>
      </c>
      <c r="C158" s="71" t="e">
        <f>bkva*2*480/365*'védett övezet árak '!$A153</f>
        <v>#REF!</v>
      </c>
      <c r="D158" s="71" t="e">
        <f>bkva*2*480/365*'védett övezet árak '!$A153</f>
        <v>#REF!</v>
      </c>
      <c r="E158" s="71" t="e">
        <f>bkva*3*480/365*'védett övezet árak '!$A153</f>
        <v>#REF!</v>
      </c>
      <c r="F158" s="71" t="e">
        <f>bkva*3*480/365*'védett övezet árak '!$A153</f>
        <v>#REF!</v>
      </c>
      <c r="G158" s="71" t="e">
        <f>bkva*3*480/365*'védett övezet árak '!$A153</f>
        <v>#REF!</v>
      </c>
      <c r="H158" s="71" t="e">
        <f>bkva*6*480/365*'védett övezet árak '!$A153</f>
        <v>#REF!</v>
      </c>
    </row>
    <row r="159" spans="1:8" ht="15.5" thickBot="1" x14ac:dyDescent="0.3">
      <c r="A159" s="70" t="s">
        <v>107</v>
      </c>
      <c r="B159" s="71" t="e">
        <f>bkva*1*576/365*'védett övezet árak '!$A153</f>
        <v>#REF!</v>
      </c>
      <c r="C159" s="71" t="e">
        <f>bkva*2*576/365*'védett övezet árak '!$A153</f>
        <v>#REF!</v>
      </c>
      <c r="D159" s="71" t="e">
        <f>bkva*2*576/365*'védett övezet árak '!$A153</f>
        <v>#REF!</v>
      </c>
      <c r="E159" s="71" t="e">
        <f>bkva*3*576/365*'védett övezet árak '!$A153</f>
        <v>#REF!</v>
      </c>
      <c r="F159" s="71" t="e">
        <f>bkva*3*576/365*'védett övezet árak '!$A153</f>
        <v>#REF!</v>
      </c>
      <c r="G159" s="71" t="e">
        <f>bkva*3*576/365*'védett övezet árak '!$A153</f>
        <v>#REF!</v>
      </c>
      <c r="H159" s="71" t="e">
        <f>bkva*6*576/365*'védett övezet árak '!$A153</f>
        <v>#REF!</v>
      </c>
    </row>
    <row r="160" spans="1:8" ht="15.5" thickBot="1" x14ac:dyDescent="0.3">
      <c r="A160" s="70" t="s">
        <v>109</v>
      </c>
      <c r="B160" s="71" t="e">
        <f>bkva*1*3650/365*'védett övezet árak '!$A153</f>
        <v>#REF!</v>
      </c>
      <c r="C160" s="71" t="e">
        <f>bkva*2*3650/365*'védett övezet árak '!$A153</f>
        <v>#REF!</v>
      </c>
      <c r="D160" s="71" t="e">
        <f>bkva*2*3650/365*'védett övezet árak '!$A153</f>
        <v>#REF!</v>
      </c>
      <c r="E160" s="71" t="e">
        <f>bkva*3*3650/365*'védett övezet árak '!$A153</f>
        <v>#REF!</v>
      </c>
      <c r="F160" s="71" t="e">
        <f>bkva*3*3650/365*'védett övezet árak '!$A153</f>
        <v>#REF!</v>
      </c>
      <c r="G160" s="71" t="e">
        <f>bkva*3*3650/365*'védett övezet árak '!$A153</f>
        <v>#REF!</v>
      </c>
      <c r="H160" s="71" t="e">
        <f>bkva*6*3650/365*'védett övezet árak '!$A153</f>
        <v>#REF!</v>
      </c>
    </row>
    <row r="161" spans="1:8" ht="15" x14ac:dyDescent="0.25">
      <c r="A161" s="126"/>
      <c r="B161" s="83"/>
      <c r="C161" s="83"/>
      <c r="D161" s="83"/>
      <c r="E161" s="83"/>
      <c r="F161" s="83"/>
      <c r="G161" s="127"/>
      <c r="H161" s="127"/>
    </row>
    <row r="162" spans="1:8" ht="13" thickBot="1" x14ac:dyDescent="0.3"/>
    <row r="163" spans="1:8" ht="16" thickTop="1" thickBot="1" x14ac:dyDescent="0.3">
      <c r="A163" s="86" t="s">
        <v>115</v>
      </c>
      <c r="B163" s="343" t="s">
        <v>116</v>
      </c>
      <c r="C163" s="344"/>
      <c r="D163" s="344"/>
      <c r="E163" s="344"/>
      <c r="F163" s="344"/>
      <c r="G163" s="344"/>
      <c r="H163" s="345"/>
    </row>
    <row r="164" spans="1:8" ht="15.5" thickBot="1" x14ac:dyDescent="0.3">
      <c r="A164" s="87" t="s">
        <v>117</v>
      </c>
      <c r="B164" s="346" t="s">
        <v>118</v>
      </c>
      <c r="C164" s="347"/>
      <c r="D164" s="347"/>
      <c r="E164" s="347"/>
      <c r="F164" s="347"/>
      <c r="G164" s="347"/>
      <c r="H164" s="348"/>
    </row>
    <row r="165" spans="1:8" ht="15.5" thickBot="1" x14ac:dyDescent="0.3">
      <c r="A165" s="87" t="s">
        <v>119</v>
      </c>
      <c r="B165" s="346" t="s">
        <v>120</v>
      </c>
      <c r="C165" s="347"/>
      <c r="D165" s="347"/>
      <c r="E165" s="347"/>
      <c r="F165" s="347"/>
      <c r="G165" s="347"/>
      <c r="H165" s="348"/>
    </row>
    <row r="166" spans="1:8" ht="15.5" thickBot="1" x14ac:dyDescent="0.3">
      <c r="A166" s="87" t="s">
        <v>121</v>
      </c>
      <c r="B166" s="346" t="s">
        <v>122</v>
      </c>
      <c r="C166" s="347"/>
      <c r="D166" s="347"/>
      <c r="E166" s="347"/>
      <c r="F166" s="347"/>
      <c r="G166" s="347"/>
      <c r="H166" s="348"/>
    </row>
    <row r="167" spans="1:8" ht="15.5" thickBot="1" x14ac:dyDescent="0.3">
      <c r="A167" s="87" t="s">
        <v>123</v>
      </c>
      <c r="B167" s="346" t="s">
        <v>124</v>
      </c>
      <c r="C167" s="347"/>
      <c r="D167" s="347"/>
      <c r="E167" s="347"/>
      <c r="F167" s="347"/>
      <c r="G167" s="347"/>
      <c r="H167" s="348"/>
    </row>
    <row r="169" spans="1:8" x14ac:dyDescent="0.25">
      <c r="A169" s="75"/>
      <c r="B169" s="75"/>
      <c r="C169" s="75"/>
      <c r="D169" s="75"/>
      <c r="E169" s="75"/>
    </row>
    <row r="170" spans="1:8" x14ac:dyDescent="0.25">
      <c r="A170" s="75"/>
      <c r="B170" s="75"/>
      <c r="C170" s="75"/>
      <c r="D170" s="75"/>
      <c r="E170" s="75"/>
    </row>
  </sheetData>
  <mergeCells count="62">
    <mergeCell ref="A127:A128"/>
    <mergeCell ref="B127:B128"/>
    <mergeCell ref="C127:H127"/>
    <mergeCell ref="A154:A155"/>
    <mergeCell ref="B154:B155"/>
    <mergeCell ref="C154:H154"/>
    <mergeCell ref="A136:A137"/>
    <mergeCell ref="B136:B137"/>
    <mergeCell ref="C136:H136"/>
    <mergeCell ref="A145:A146"/>
    <mergeCell ref="B145:B146"/>
    <mergeCell ref="C145:H145"/>
    <mergeCell ref="B163:H163"/>
    <mergeCell ref="B164:H164"/>
    <mergeCell ref="B165:H165"/>
    <mergeCell ref="B166:H166"/>
    <mergeCell ref="B167:H167"/>
    <mergeCell ref="A99:A100"/>
    <mergeCell ref="B99:B100"/>
    <mergeCell ref="C99:H99"/>
    <mergeCell ref="A118:A119"/>
    <mergeCell ref="B118:B119"/>
    <mergeCell ref="C118:H118"/>
    <mergeCell ref="A107:H107"/>
    <mergeCell ref="A109:A110"/>
    <mergeCell ref="B109:B110"/>
    <mergeCell ref="C109:H109"/>
    <mergeCell ref="A81:A82"/>
    <mergeCell ref="B81:B82"/>
    <mergeCell ref="C81:H81"/>
    <mergeCell ref="A90:A91"/>
    <mergeCell ref="B90:B91"/>
    <mergeCell ref="C90:H90"/>
    <mergeCell ref="A54:A55"/>
    <mergeCell ref="B54:B55"/>
    <mergeCell ref="C54:H54"/>
    <mergeCell ref="A52:H52"/>
    <mergeCell ref="A72:A73"/>
    <mergeCell ref="B72:B73"/>
    <mergeCell ref="C72:H72"/>
    <mergeCell ref="A63:A64"/>
    <mergeCell ref="B63:B64"/>
    <mergeCell ref="C63:H63"/>
    <mergeCell ref="A43:A44"/>
    <mergeCell ref="B43:B44"/>
    <mergeCell ref="C43:H43"/>
    <mergeCell ref="A34:A35"/>
    <mergeCell ref="B34:B35"/>
    <mergeCell ref="C34:H34"/>
    <mergeCell ref="A1:H1"/>
    <mergeCell ref="A2:H2"/>
    <mergeCell ref="A3:H3"/>
    <mergeCell ref="A4:H4"/>
    <mergeCell ref="B25:B26"/>
    <mergeCell ref="C25:H25"/>
    <mergeCell ref="A25:A26"/>
    <mergeCell ref="A7:A8"/>
    <mergeCell ref="B7:B8"/>
    <mergeCell ref="C7:H7"/>
    <mergeCell ref="A16:A17"/>
    <mergeCell ref="B16:B17"/>
    <mergeCell ref="C16:H16"/>
  </mergeCells>
  <phoneticPr fontId="26" type="noConversion"/>
  <pageMargins left="0.70866141732283472" right="0.70866141732283472" top="0.35433070866141736" bottom="0.51181102362204722" header="0.31496062992125984" footer="0.43307086614173229"/>
  <pageSetup paperSize="9" scale="42" fitToHeight="7" orientation="portrait" horizontalDpi="4294967293" r:id="rId1"/>
  <rowBreaks count="1" manualBreakCount="1">
    <brk id="88" max="16383" man="1"/>
  </rowBreaks>
  <webPublishItems count="1">
    <webPublishItem id="6184" divId="arak_2010_01_01_6184" sourceType="sheet" destinationFile="L:\2010\arak\Másolat eredetijearak_2010_01_01.htm"/>
  </webPublishItem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/>
  <dimension ref="A1:H180"/>
  <sheetViews>
    <sheetView topLeftCell="A156" zoomScaleNormal="100" workbookViewId="0">
      <selection activeCell="A4" sqref="A4:H4"/>
    </sheetView>
  </sheetViews>
  <sheetFormatPr defaultRowHeight="12.5" x14ac:dyDescent="0.25"/>
  <cols>
    <col min="1" max="1" width="18.1796875" customWidth="1"/>
    <col min="2" max="2" width="19.7265625" bestFit="1" customWidth="1"/>
    <col min="3" max="3" width="18.81640625" bestFit="1" customWidth="1"/>
    <col min="4" max="5" width="18" bestFit="1" customWidth="1"/>
    <col min="6" max="7" width="19.453125" bestFit="1" customWidth="1"/>
    <col min="8" max="8" width="18.54296875" bestFit="1" customWidth="1"/>
  </cols>
  <sheetData>
    <row r="1" spans="1:8" ht="19" thickTop="1" thickBot="1" x14ac:dyDescent="0.3">
      <c r="A1" s="310" t="s">
        <v>125</v>
      </c>
      <c r="B1" s="311"/>
      <c r="C1" s="311"/>
      <c r="D1" s="311"/>
      <c r="E1" s="311"/>
      <c r="F1" s="311"/>
      <c r="G1" s="311"/>
      <c r="H1" s="312"/>
    </row>
    <row r="2" spans="1:8" ht="52.5" customHeight="1" thickBot="1" x14ac:dyDescent="0.3">
      <c r="A2" s="355" t="s">
        <v>92</v>
      </c>
      <c r="B2" s="356"/>
      <c r="C2" s="356"/>
      <c r="D2" s="356"/>
      <c r="E2" s="356"/>
      <c r="F2" s="356"/>
      <c r="G2" s="356"/>
      <c r="H2" s="357"/>
    </row>
    <row r="3" spans="1:8" ht="251.25" customHeight="1" thickBot="1" x14ac:dyDescent="0.3">
      <c r="A3" s="316" t="s">
        <v>126</v>
      </c>
      <c r="B3" s="317"/>
      <c r="C3" s="317"/>
      <c r="D3" s="317"/>
      <c r="E3" s="317"/>
      <c r="F3" s="317"/>
      <c r="G3" s="317"/>
      <c r="H3" s="318"/>
    </row>
    <row r="4" spans="1:8" ht="16" thickBot="1" x14ac:dyDescent="0.3">
      <c r="A4" s="352" t="s">
        <v>127</v>
      </c>
      <c r="B4" s="353"/>
      <c r="C4" s="353"/>
      <c r="D4" s="353"/>
      <c r="E4" s="353"/>
      <c r="F4" s="353"/>
      <c r="G4" s="353"/>
      <c r="H4" s="354"/>
    </row>
    <row r="5" spans="1:8" s="75" customFormat="1" ht="16" thickBot="1" x14ac:dyDescent="0.3">
      <c r="A5" s="104">
        <v>1</v>
      </c>
      <c r="H5" s="76"/>
    </row>
    <row r="6" spans="1:8" s="75" customFormat="1" ht="15.5" thickBot="1" x14ac:dyDescent="0.3">
      <c r="A6" s="100" t="s">
        <v>128</v>
      </c>
      <c r="B6" s="92" t="s">
        <v>129</v>
      </c>
      <c r="C6" s="92" t="s">
        <v>130</v>
      </c>
      <c r="D6" s="92" t="s">
        <v>131</v>
      </c>
      <c r="E6" s="92" t="s">
        <v>132</v>
      </c>
      <c r="F6" s="92" t="s">
        <v>133</v>
      </c>
      <c r="G6" s="92" t="s">
        <v>134</v>
      </c>
      <c r="H6" s="101" t="s">
        <v>135</v>
      </c>
    </row>
    <row r="7" spans="1:8" s="75" customFormat="1" ht="15.5" thickBot="1" x14ac:dyDescent="0.3">
      <c r="A7" s="102" t="s">
        <v>136</v>
      </c>
      <c r="B7" s="95">
        <f>'övezetek rendelet szeint'!$B$6/365*A5</f>
        <v>172.60273972602741</v>
      </c>
      <c r="C7" s="95">
        <f>'övezetek rendelet szeint'!$C$6/365*A5</f>
        <v>181.23287671232876</v>
      </c>
      <c r="D7" s="95">
        <f>'övezetek rendelet szeint'!$E$6/365*A5</f>
        <v>289.97260273972603</v>
      </c>
      <c r="E7" s="95">
        <f>'övezetek rendelet szeint'!$G$6/365*A5</f>
        <v>434.95890410958901</v>
      </c>
      <c r="F7" s="95">
        <f>'övezetek rendelet szeint'!$H$6/365*A5</f>
        <v>724.93150684931504</v>
      </c>
      <c r="G7" s="95">
        <f>'övezetek rendelet szeint'!$I$6/365*A5</f>
        <v>1337.6712328767123</v>
      </c>
      <c r="H7" s="95">
        <f>'övezetek rendelet szeint'!$J$6/365*A5</f>
        <v>2174.794520547945</v>
      </c>
    </row>
    <row r="8" spans="1:8" s="75" customFormat="1" ht="15.5" thickBot="1" x14ac:dyDescent="0.3">
      <c r="A8" s="102" t="s">
        <v>137</v>
      </c>
      <c r="B8" s="95">
        <f>'övezetek rendelet szeint'!$B$7/365*A5</f>
        <v>172.60273972602741</v>
      </c>
      <c r="C8" s="95">
        <f>'övezetek rendelet szeint'!$C$7/365*A5</f>
        <v>181.23287671232876</v>
      </c>
      <c r="D8" s="95">
        <f>'övezetek rendelet szeint'!$E$7/365*A5</f>
        <v>289.97260273972603</v>
      </c>
      <c r="E8" s="95">
        <f>'övezetek rendelet szeint'!$G$7/365*A5</f>
        <v>434.95890410958901</v>
      </c>
      <c r="F8" s="95">
        <f>'övezetek rendelet szeint'!$H$7/365*A5</f>
        <v>724.93150684931504</v>
      </c>
      <c r="G8" s="95">
        <f>'övezetek rendelet szeint'!$I$7/365*A5</f>
        <v>1337.6712328767123</v>
      </c>
      <c r="H8" s="95">
        <f>'övezetek rendelet szeint'!$J$7/365*A5</f>
        <v>2174.794520547945</v>
      </c>
    </row>
    <row r="9" spans="1:8" s="75" customFormat="1" ht="15.5" thickBot="1" x14ac:dyDescent="0.3">
      <c r="A9" s="102" t="s">
        <v>138</v>
      </c>
      <c r="B9" s="95">
        <f>'övezetek rendelet szeint'!$B$8/365*A5</f>
        <v>172.60273972602741</v>
      </c>
      <c r="C9" s="95">
        <f>'övezetek rendelet szeint'!$C$8/365*A5</f>
        <v>181.23287671232876</v>
      </c>
      <c r="D9" s="95">
        <f>'övezetek rendelet szeint'!$E$8/365*A5</f>
        <v>289.97260273972603</v>
      </c>
      <c r="E9" s="95">
        <f>'övezetek rendelet szeint'!$G$8/365*A5</f>
        <v>434.95890410958901</v>
      </c>
      <c r="F9" s="95">
        <f>'övezetek rendelet szeint'!$H$8/365*A5</f>
        <v>724.93150684931504</v>
      </c>
      <c r="G9" s="95">
        <f>'övezetek rendelet szeint'!$I$8/365*A5</f>
        <v>1337.6712328767123</v>
      </c>
      <c r="H9" s="95">
        <f>'övezetek rendelet szeint'!$J$8/365*A5</f>
        <v>2174.794520547945</v>
      </c>
    </row>
    <row r="10" spans="1:8" s="75" customFormat="1" ht="15.5" thickBot="1" x14ac:dyDescent="0.3">
      <c r="A10" s="102" t="s">
        <v>139</v>
      </c>
      <c r="B10" s="95">
        <f>'övezetek rendelet szeint'!$B$9/365*A5</f>
        <v>172.60273972602741</v>
      </c>
      <c r="C10" s="95">
        <f>'övezetek rendelet szeint'!$C$9/365*A5</f>
        <v>181.23287671232876</v>
      </c>
      <c r="D10" s="95">
        <f>'övezetek rendelet szeint'!$E$9/365*A5</f>
        <v>289.97260273972603</v>
      </c>
      <c r="E10" s="95">
        <f>'övezetek rendelet szeint'!$G$9/365*A5</f>
        <v>434.95890410958901</v>
      </c>
      <c r="F10" s="95">
        <f>'övezetek rendelet szeint'!$H$9/365*A5</f>
        <v>724.93150684931504</v>
      </c>
      <c r="G10" s="95">
        <f>'övezetek rendelet szeint'!$I$9/365*A5</f>
        <v>1337.6712328767123</v>
      </c>
      <c r="H10" s="95">
        <f>'övezetek rendelet szeint'!$J$9/365*A5</f>
        <v>2174.794520547945</v>
      </c>
    </row>
    <row r="11" spans="1:8" s="75" customFormat="1" ht="13" thickBot="1" x14ac:dyDescent="0.3">
      <c r="A11" s="74"/>
      <c r="H11" s="76"/>
    </row>
    <row r="12" spans="1:8" s="75" customFormat="1" ht="16" thickBot="1" x14ac:dyDescent="0.3">
      <c r="A12" s="88">
        <v>7</v>
      </c>
      <c r="H12" s="76"/>
    </row>
    <row r="13" spans="1:8" s="75" customFormat="1" ht="15.5" thickBot="1" x14ac:dyDescent="0.3">
      <c r="A13" s="100" t="s">
        <v>128</v>
      </c>
      <c r="B13" s="92" t="s">
        <v>129</v>
      </c>
      <c r="C13" s="92" t="s">
        <v>130</v>
      </c>
      <c r="D13" s="92" t="s">
        <v>131</v>
      </c>
      <c r="E13" s="92" t="s">
        <v>132</v>
      </c>
      <c r="F13" s="92" t="s">
        <v>133</v>
      </c>
      <c r="G13" s="92" t="s">
        <v>134</v>
      </c>
      <c r="H13" s="101" t="s">
        <v>135</v>
      </c>
    </row>
    <row r="14" spans="1:8" s="75" customFormat="1" ht="15.5" thickBot="1" x14ac:dyDescent="0.3">
      <c r="A14" s="102" t="s">
        <v>136</v>
      </c>
      <c r="B14" s="95">
        <f>'övezetek rendelet szeint'!$B$6/365*A12</f>
        <v>1208.2191780821918</v>
      </c>
      <c r="C14" s="95">
        <f>'övezetek rendelet szeint'!$C$6/365*A12</f>
        <v>1268.6301369863013</v>
      </c>
      <c r="D14" s="95">
        <f>'övezetek rendelet szeint'!$E$6/365*A12</f>
        <v>2029.8082191780823</v>
      </c>
      <c r="E14" s="95">
        <f>'övezetek rendelet szeint'!$G$6/365*A12</f>
        <v>3044.7123287671229</v>
      </c>
      <c r="F14" s="95">
        <f>'övezetek rendelet szeint'!$H$6/365*A12</f>
        <v>5074.5205479452052</v>
      </c>
      <c r="G14" s="95">
        <f>'övezetek rendelet szeint'!$I$6/365*A12</f>
        <v>9363.698630136987</v>
      </c>
      <c r="H14" s="95">
        <f>'övezetek rendelet szeint'!$J$6/365*A12</f>
        <v>15223.561643835616</v>
      </c>
    </row>
    <row r="15" spans="1:8" s="75" customFormat="1" ht="15.5" thickBot="1" x14ac:dyDescent="0.3">
      <c r="A15" s="102" t="s">
        <v>137</v>
      </c>
      <c r="B15" s="95">
        <f>'övezetek rendelet szeint'!$B$7/365*A12</f>
        <v>1208.2191780821918</v>
      </c>
      <c r="C15" s="95">
        <f>'övezetek rendelet szeint'!$C$7/365*A12</f>
        <v>1268.6301369863013</v>
      </c>
      <c r="D15" s="95">
        <f>'övezetek rendelet szeint'!$E$7/365*A12</f>
        <v>2029.8082191780823</v>
      </c>
      <c r="E15" s="95">
        <f>'övezetek rendelet szeint'!$G$7/365*A12</f>
        <v>3044.7123287671229</v>
      </c>
      <c r="F15" s="95">
        <f>'övezetek rendelet szeint'!$H$7/365*A12</f>
        <v>5074.5205479452052</v>
      </c>
      <c r="G15" s="95">
        <f>'övezetek rendelet szeint'!$I$7/365*A12</f>
        <v>9363.698630136987</v>
      </c>
      <c r="H15" s="95">
        <f>'övezetek rendelet szeint'!$J$7/365*A12</f>
        <v>15223.561643835616</v>
      </c>
    </row>
    <row r="16" spans="1:8" s="75" customFormat="1" ht="15.5" thickBot="1" x14ac:dyDescent="0.3">
      <c r="A16" s="102" t="s">
        <v>138</v>
      </c>
      <c r="B16" s="95">
        <f>'övezetek rendelet szeint'!$B$8/365*A12</f>
        <v>1208.2191780821918</v>
      </c>
      <c r="C16" s="95">
        <f>'övezetek rendelet szeint'!$C$8/365*A12</f>
        <v>1268.6301369863013</v>
      </c>
      <c r="D16" s="95">
        <f>'övezetek rendelet szeint'!$E$8/365*A12</f>
        <v>2029.8082191780823</v>
      </c>
      <c r="E16" s="95">
        <f>'övezetek rendelet szeint'!$G$8/365*A12</f>
        <v>3044.7123287671229</v>
      </c>
      <c r="F16" s="95">
        <f>'övezetek rendelet szeint'!$H$8/365*A12</f>
        <v>5074.5205479452052</v>
      </c>
      <c r="G16" s="95">
        <f>'övezetek rendelet szeint'!$I$8/365*A12</f>
        <v>9363.698630136987</v>
      </c>
      <c r="H16" s="95">
        <f>'övezetek rendelet szeint'!$J$8/365*A12</f>
        <v>15223.561643835616</v>
      </c>
    </row>
    <row r="17" spans="1:8" s="75" customFormat="1" ht="15.5" thickBot="1" x14ac:dyDescent="0.3">
      <c r="A17" s="102" t="s">
        <v>139</v>
      </c>
      <c r="B17" s="95">
        <f>'övezetek rendelet szeint'!$B$9/365*A12</f>
        <v>1208.2191780821918</v>
      </c>
      <c r="C17" s="95">
        <f>'övezetek rendelet szeint'!$C$9/365*A12</f>
        <v>1268.6301369863013</v>
      </c>
      <c r="D17" s="95">
        <f>'övezetek rendelet szeint'!$E$9/365*A12</f>
        <v>2029.8082191780823</v>
      </c>
      <c r="E17" s="95">
        <f>'övezetek rendelet szeint'!$G$9/365*A12</f>
        <v>3044.7123287671229</v>
      </c>
      <c r="F17" s="95">
        <f>'övezetek rendelet szeint'!$H$9/365*A12</f>
        <v>5074.5205479452052</v>
      </c>
      <c r="G17" s="95">
        <f>'övezetek rendelet szeint'!$I$9/365*A12</f>
        <v>9363.698630136987</v>
      </c>
      <c r="H17" s="95">
        <f>'övezetek rendelet szeint'!$J$9/365*A12</f>
        <v>15223.561643835616</v>
      </c>
    </row>
    <row r="18" spans="1:8" s="75" customFormat="1" ht="13" thickBot="1" x14ac:dyDescent="0.3">
      <c r="A18" s="74"/>
      <c r="H18" s="76"/>
    </row>
    <row r="19" spans="1:8" s="75" customFormat="1" ht="16" thickBot="1" x14ac:dyDescent="0.3">
      <c r="A19" s="88">
        <v>15</v>
      </c>
      <c r="H19" s="76"/>
    </row>
    <row r="20" spans="1:8" s="75" customFormat="1" ht="15.5" thickBot="1" x14ac:dyDescent="0.3">
      <c r="A20" s="100" t="s">
        <v>128</v>
      </c>
      <c r="B20" s="92" t="s">
        <v>129</v>
      </c>
      <c r="C20" s="92" t="s">
        <v>130</v>
      </c>
      <c r="D20" s="92" t="s">
        <v>131</v>
      </c>
      <c r="E20" s="92" t="s">
        <v>132</v>
      </c>
      <c r="F20" s="92" t="s">
        <v>133</v>
      </c>
      <c r="G20" s="92" t="s">
        <v>134</v>
      </c>
      <c r="H20" s="101" t="s">
        <v>135</v>
      </c>
    </row>
    <row r="21" spans="1:8" s="75" customFormat="1" ht="15.5" thickBot="1" x14ac:dyDescent="0.3">
      <c r="A21" s="102" t="s">
        <v>136</v>
      </c>
      <c r="B21" s="95">
        <f>'övezetek rendelet szeint'!$B$6/365*A19</f>
        <v>2589.0410958904113</v>
      </c>
      <c r="C21" s="95">
        <f>'övezetek rendelet szeint'!$C$6/365*A19</f>
        <v>2718.4931506849316</v>
      </c>
      <c r="D21" s="95">
        <f>'övezetek rendelet szeint'!$E$6/365*A19</f>
        <v>4349.58904109589</v>
      </c>
      <c r="E21" s="95">
        <f>'övezetek rendelet szeint'!$G$6/365*A19</f>
        <v>6524.3835616438355</v>
      </c>
      <c r="F21" s="95">
        <f>'övezetek rendelet szeint'!$H$6/365*A19</f>
        <v>10873.972602739726</v>
      </c>
      <c r="G21" s="95">
        <f>'övezetek rendelet szeint'!$I$6/365*A19</f>
        <v>20065.068493150684</v>
      </c>
      <c r="H21" s="95">
        <f>'övezetek rendelet szeint'!$J$6/365*A19</f>
        <v>32621.917808219176</v>
      </c>
    </row>
    <row r="22" spans="1:8" s="75" customFormat="1" ht="15.5" thickBot="1" x14ac:dyDescent="0.3">
      <c r="A22" s="102" t="s">
        <v>137</v>
      </c>
      <c r="B22" s="95">
        <f>'övezetek rendelet szeint'!$B$7/365*A19</f>
        <v>2589.0410958904113</v>
      </c>
      <c r="C22" s="95">
        <f>'övezetek rendelet szeint'!$C$7/365*A19</f>
        <v>2718.4931506849316</v>
      </c>
      <c r="D22" s="95">
        <f>'övezetek rendelet szeint'!$E$7/365*A19</f>
        <v>4349.58904109589</v>
      </c>
      <c r="E22" s="95">
        <f>'övezetek rendelet szeint'!$G$7/365*A19</f>
        <v>6524.3835616438355</v>
      </c>
      <c r="F22" s="95">
        <f>'övezetek rendelet szeint'!$H$7/365*A19</f>
        <v>10873.972602739726</v>
      </c>
      <c r="G22" s="95">
        <f>'övezetek rendelet szeint'!$I$7/365*A19</f>
        <v>20065.068493150684</v>
      </c>
      <c r="H22" s="95">
        <f>'övezetek rendelet szeint'!$J$7/365*A19</f>
        <v>32621.917808219176</v>
      </c>
    </row>
    <row r="23" spans="1:8" s="75" customFormat="1" ht="15.5" thickBot="1" x14ac:dyDescent="0.3">
      <c r="A23" s="102" t="s">
        <v>138</v>
      </c>
      <c r="B23" s="95">
        <f>'övezetek rendelet szeint'!$B$8/365*A19</f>
        <v>2589.0410958904113</v>
      </c>
      <c r="C23" s="95">
        <f>'övezetek rendelet szeint'!$C$8/365*A19</f>
        <v>2718.4931506849316</v>
      </c>
      <c r="D23" s="95">
        <f>'övezetek rendelet szeint'!$E$8/365*A19</f>
        <v>4349.58904109589</v>
      </c>
      <c r="E23" s="95">
        <f>'övezetek rendelet szeint'!$G$8/365*A19</f>
        <v>6524.3835616438355</v>
      </c>
      <c r="F23" s="95">
        <f>'övezetek rendelet szeint'!$H$8/365*A19</f>
        <v>10873.972602739726</v>
      </c>
      <c r="G23" s="95">
        <f>'övezetek rendelet szeint'!$I$8/365*A19</f>
        <v>20065.068493150684</v>
      </c>
      <c r="H23" s="95">
        <f>'övezetek rendelet szeint'!$J$8/365*A19</f>
        <v>32621.917808219176</v>
      </c>
    </row>
    <row r="24" spans="1:8" s="75" customFormat="1" ht="15.5" thickBot="1" x14ac:dyDescent="0.3">
      <c r="A24" s="102" t="s">
        <v>139</v>
      </c>
      <c r="B24" s="95">
        <f>'övezetek rendelet szeint'!$B$9/365*A19</f>
        <v>2589.0410958904113</v>
      </c>
      <c r="C24" s="95">
        <f>'övezetek rendelet szeint'!$C$9/365*A19</f>
        <v>2718.4931506849316</v>
      </c>
      <c r="D24" s="95">
        <f>'övezetek rendelet szeint'!$E$9/365*A19</f>
        <v>4349.58904109589</v>
      </c>
      <c r="E24" s="95">
        <f>'övezetek rendelet szeint'!$G$9/365*A19</f>
        <v>6524.3835616438355</v>
      </c>
      <c r="F24" s="95">
        <f>'övezetek rendelet szeint'!$H$9/365*A19</f>
        <v>10873.972602739726</v>
      </c>
      <c r="G24" s="95">
        <f>'övezetek rendelet szeint'!$I$9/365*A19</f>
        <v>20065.068493150684</v>
      </c>
      <c r="H24" s="95">
        <f>'övezetek rendelet szeint'!$J$9/365*A19</f>
        <v>32621.917808219176</v>
      </c>
    </row>
    <row r="25" spans="1:8" s="75" customFormat="1" ht="13" thickBot="1" x14ac:dyDescent="0.3">
      <c r="A25" s="74"/>
      <c r="H25" s="76"/>
    </row>
    <row r="26" spans="1:8" s="75" customFormat="1" ht="16" thickBot="1" x14ac:dyDescent="0.3">
      <c r="A26" s="88">
        <v>30</v>
      </c>
      <c r="H26" s="76"/>
    </row>
    <row r="27" spans="1:8" s="75" customFormat="1" ht="15.5" thickBot="1" x14ac:dyDescent="0.3">
      <c r="A27" s="100" t="s">
        <v>128</v>
      </c>
      <c r="B27" s="92" t="s">
        <v>129</v>
      </c>
      <c r="C27" s="92" t="s">
        <v>130</v>
      </c>
      <c r="D27" s="92" t="s">
        <v>131</v>
      </c>
      <c r="E27" s="92" t="s">
        <v>132</v>
      </c>
      <c r="F27" s="92" t="s">
        <v>133</v>
      </c>
      <c r="G27" s="92" t="s">
        <v>134</v>
      </c>
      <c r="H27" s="101" t="s">
        <v>135</v>
      </c>
    </row>
    <row r="28" spans="1:8" s="75" customFormat="1" ht="15.5" thickBot="1" x14ac:dyDescent="0.3">
      <c r="A28" s="102" t="s">
        <v>136</v>
      </c>
      <c r="B28" s="95">
        <f>'övezetek rendelet szeint'!$B$6/365*A26</f>
        <v>5178.0821917808225</v>
      </c>
      <c r="C28" s="95">
        <f>'övezetek rendelet szeint'!$C$6/365*A26</f>
        <v>5436.9863013698632</v>
      </c>
      <c r="D28" s="95">
        <f>'övezetek rendelet szeint'!$E$6/365*A26</f>
        <v>8699.17808219178</v>
      </c>
      <c r="E28" s="95">
        <f>'övezetek rendelet szeint'!$G$6/365*A26</f>
        <v>13048.767123287671</v>
      </c>
      <c r="F28" s="95">
        <f>'övezetek rendelet szeint'!$H$6/365*A26</f>
        <v>21747.945205479453</v>
      </c>
      <c r="G28" s="95">
        <f>'övezetek rendelet szeint'!$I$6/365*A26</f>
        <v>40130.136986301368</v>
      </c>
      <c r="H28" s="95">
        <f>'övezetek rendelet szeint'!$J$6/365*A26</f>
        <v>65243.835616438351</v>
      </c>
    </row>
    <row r="29" spans="1:8" s="75" customFormat="1" ht="15.5" thickBot="1" x14ac:dyDescent="0.3">
      <c r="A29" s="102" t="s">
        <v>137</v>
      </c>
      <c r="B29" s="95">
        <f>'övezetek rendelet szeint'!$B$7/365*A26</f>
        <v>5178.0821917808225</v>
      </c>
      <c r="C29" s="95">
        <f>'övezetek rendelet szeint'!$C$7/365*A26</f>
        <v>5436.9863013698632</v>
      </c>
      <c r="D29" s="95">
        <f>'övezetek rendelet szeint'!$E$7/365*A26</f>
        <v>8699.17808219178</v>
      </c>
      <c r="E29" s="95">
        <f>'övezetek rendelet szeint'!$G$7/365*A26</f>
        <v>13048.767123287671</v>
      </c>
      <c r="F29" s="95">
        <f>'övezetek rendelet szeint'!$H$7/365*A26</f>
        <v>21747.945205479453</v>
      </c>
      <c r="G29" s="95">
        <f>'övezetek rendelet szeint'!$I$7/365*A26</f>
        <v>40130.136986301368</v>
      </c>
      <c r="H29" s="95">
        <f>'övezetek rendelet szeint'!$J$7/365*A26</f>
        <v>65243.835616438351</v>
      </c>
    </row>
    <row r="30" spans="1:8" s="75" customFormat="1" ht="15.5" thickBot="1" x14ac:dyDescent="0.3">
      <c r="A30" s="102" t="s">
        <v>138</v>
      </c>
      <c r="B30" s="95">
        <f>'övezetek rendelet szeint'!$B$8/365*A26</f>
        <v>5178.0821917808225</v>
      </c>
      <c r="C30" s="95">
        <f>'övezetek rendelet szeint'!$C$8/365*A26</f>
        <v>5436.9863013698632</v>
      </c>
      <c r="D30" s="95">
        <f>'övezetek rendelet szeint'!$E$8/365*A26</f>
        <v>8699.17808219178</v>
      </c>
      <c r="E30" s="95">
        <f>'övezetek rendelet szeint'!$G$8/365*A26</f>
        <v>13048.767123287671</v>
      </c>
      <c r="F30" s="95">
        <f>'övezetek rendelet szeint'!$H$8/365*A26</f>
        <v>21747.945205479453</v>
      </c>
      <c r="G30" s="95">
        <f>'övezetek rendelet szeint'!$I$8/365*A26</f>
        <v>40130.136986301368</v>
      </c>
      <c r="H30" s="95">
        <f>'övezetek rendelet szeint'!$J$8/365*A26</f>
        <v>65243.835616438351</v>
      </c>
    </row>
    <row r="31" spans="1:8" s="75" customFormat="1" ht="15.5" thickBot="1" x14ac:dyDescent="0.3">
      <c r="A31" s="102" t="s">
        <v>139</v>
      </c>
      <c r="B31" s="95">
        <f>'övezetek rendelet szeint'!$B$9/365*A26</f>
        <v>5178.0821917808225</v>
      </c>
      <c r="C31" s="95">
        <f>'övezetek rendelet szeint'!$C$9/365*A26</f>
        <v>5436.9863013698632</v>
      </c>
      <c r="D31" s="95">
        <f>'övezetek rendelet szeint'!$E$9/365*A26</f>
        <v>8699.17808219178</v>
      </c>
      <c r="E31" s="95">
        <f>'övezetek rendelet szeint'!$G$9/365*A26</f>
        <v>13048.767123287671</v>
      </c>
      <c r="F31" s="95">
        <f>'övezetek rendelet szeint'!$H$9/365*A26</f>
        <v>21747.945205479453</v>
      </c>
      <c r="G31" s="95">
        <f>'övezetek rendelet szeint'!$I$9/365*A26</f>
        <v>40130.136986301368</v>
      </c>
      <c r="H31" s="95">
        <f>'övezetek rendelet szeint'!$J$9/365*A26</f>
        <v>65243.835616438351</v>
      </c>
    </row>
    <row r="32" spans="1:8" s="75" customFormat="1" ht="13" thickBot="1" x14ac:dyDescent="0.3">
      <c r="A32" s="74"/>
      <c r="H32" s="76"/>
    </row>
    <row r="33" spans="1:8" s="75" customFormat="1" ht="16" thickBot="1" x14ac:dyDescent="0.3">
      <c r="A33" s="88">
        <v>180</v>
      </c>
      <c r="H33" s="76"/>
    </row>
    <row r="34" spans="1:8" s="75" customFormat="1" ht="15.5" thickBot="1" x14ac:dyDescent="0.3">
      <c r="A34" s="100" t="s">
        <v>128</v>
      </c>
      <c r="B34" s="92" t="s">
        <v>129</v>
      </c>
      <c r="C34" s="92" t="s">
        <v>130</v>
      </c>
      <c r="D34" s="92" t="s">
        <v>131</v>
      </c>
      <c r="E34" s="92" t="s">
        <v>132</v>
      </c>
      <c r="F34" s="92" t="s">
        <v>133</v>
      </c>
      <c r="G34" s="92" t="s">
        <v>134</v>
      </c>
      <c r="H34" s="101" t="s">
        <v>135</v>
      </c>
    </row>
    <row r="35" spans="1:8" s="75" customFormat="1" ht="15.5" thickBot="1" x14ac:dyDescent="0.3">
      <c r="A35" s="102" t="s">
        <v>136</v>
      </c>
      <c r="B35" s="95">
        <f>'övezetek rendelet szeint'!$B$6/365*A33</f>
        <v>31068.493150684935</v>
      </c>
      <c r="C35" s="95">
        <f>'övezetek rendelet szeint'!$C$6/365*A33</f>
        <v>32621.917808219176</v>
      </c>
      <c r="D35" s="95">
        <f>'övezetek rendelet szeint'!$E$6/365*A33</f>
        <v>52195.068493150684</v>
      </c>
      <c r="E35" s="95">
        <f>'övezetek rendelet szeint'!$G$6/365*A33</f>
        <v>78292.602739726019</v>
      </c>
      <c r="F35" s="95">
        <f>'övezetek rendelet szeint'!$H$6/365*A33</f>
        <v>130487.6712328767</v>
      </c>
      <c r="G35" s="95">
        <f>'övezetek rendelet szeint'!$I$6/365*A33</f>
        <v>240780.82191780821</v>
      </c>
      <c r="H35" s="95">
        <f>'övezetek rendelet szeint'!$J$6/365*A33</f>
        <v>391463.01369863009</v>
      </c>
    </row>
    <row r="36" spans="1:8" s="75" customFormat="1" ht="15.5" thickBot="1" x14ac:dyDescent="0.3">
      <c r="A36" s="102" t="s">
        <v>137</v>
      </c>
      <c r="B36" s="95">
        <f>'övezetek rendelet szeint'!$B$7/365*A33</f>
        <v>31068.493150684935</v>
      </c>
      <c r="C36" s="95">
        <f>'övezetek rendelet szeint'!$C$7/365*A33</f>
        <v>32621.917808219176</v>
      </c>
      <c r="D36" s="95">
        <f>'övezetek rendelet szeint'!$E$7/365*A33</f>
        <v>52195.068493150684</v>
      </c>
      <c r="E36" s="95">
        <f>'övezetek rendelet szeint'!$G$7/365*A33</f>
        <v>78292.602739726019</v>
      </c>
      <c r="F36" s="95">
        <f>'övezetek rendelet szeint'!$H$7/365*A33</f>
        <v>130487.6712328767</v>
      </c>
      <c r="G36" s="95">
        <f>'övezetek rendelet szeint'!$I$7/365*A33</f>
        <v>240780.82191780821</v>
      </c>
      <c r="H36" s="95">
        <f>'övezetek rendelet szeint'!$J$7/365*A33</f>
        <v>391463.01369863009</v>
      </c>
    </row>
    <row r="37" spans="1:8" s="75" customFormat="1" ht="15.5" thickBot="1" x14ac:dyDescent="0.3">
      <c r="A37" s="102" t="s">
        <v>138</v>
      </c>
      <c r="B37" s="95">
        <f>'övezetek rendelet szeint'!$B$8/365*A33</f>
        <v>31068.493150684935</v>
      </c>
      <c r="C37" s="95">
        <f>'övezetek rendelet szeint'!$C$8/365*A33</f>
        <v>32621.917808219176</v>
      </c>
      <c r="D37" s="95">
        <f>'övezetek rendelet szeint'!$E$8/365*A33</f>
        <v>52195.068493150684</v>
      </c>
      <c r="E37" s="95">
        <f>'övezetek rendelet szeint'!$G$8/365*A33</f>
        <v>78292.602739726019</v>
      </c>
      <c r="F37" s="95">
        <f>'övezetek rendelet szeint'!$H$8/365*A33</f>
        <v>130487.6712328767</v>
      </c>
      <c r="G37" s="95">
        <f>'övezetek rendelet szeint'!$I$8/365*A33</f>
        <v>240780.82191780821</v>
      </c>
      <c r="H37" s="95">
        <f>'övezetek rendelet szeint'!$J$8/365*A33</f>
        <v>391463.01369863009</v>
      </c>
    </row>
    <row r="38" spans="1:8" s="75" customFormat="1" ht="15.5" thickBot="1" x14ac:dyDescent="0.3">
      <c r="A38" s="102" t="s">
        <v>139</v>
      </c>
      <c r="B38" s="95">
        <f>'övezetek rendelet szeint'!$B$9/365*A33</f>
        <v>31068.493150684935</v>
      </c>
      <c r="C38" s="95">
        <f>'övezetek rendelet szeint'!$C$9/365*A33</f>
        <v>32621.917808219176</v>
      </c>
      <c r="D38" s="95">
        <f>'övezetek rendelet szeint'!$E$9/365*A33</f>
        <v>52195.068493150684</v>
      </c>
      <c r="E38" s="95">
        <f>'övezetek rendelet szeint'!$G$9/365*A33</f>
        <v>78292.602739726019</v>
      </c>
      <c r="F38" s="95">
        <f>'övezetek rendelet szeint'!$H$9/365*A33</f>
        <v>130487.6712328767</v>
      </c>
      <c r="G38" s="95">
        <f>'övezetek rendelet szeint'!$I$9/365*A33</f>
        <v>240780.82191780821</v>
      </c>
      <c r="H38" s="95">
        <f>'övezetek rendelet szeint'!$J$9/365*A33</f>
        <v>391463.01369863009</v>
      </c>
    </row>
    <row r="39" spans="1:8" s="75" customFormat="1" ht="13" thickBot="1" x14ac:dyDescent="0.3">
      <c r="A39" s="74"/>
      <c r="H39" s="76"/>
    </row>
    <row r="40" spans="1:8" s="75" customFormat="1" ht="16" thickBot="1" x14ac:dyDescent="0.3">
      <c r="A40" s="88">
        <v>360</v>
      </c>
      <c r="H40" s="76"/>
    </row>
    <row r="41" spans="1:8" s="75" customFormat="1" ht="15.5" thickBot="1" x14ac:dyDescent="0.3">
      <c r="A41" s="100" t="s">
        <v>128</v>
      </c>
      <c r="B41" s="92" t="s">
        <v>129</v>
      </c>
      <c r="C41" s="92" t="s">
        <v>130</v>
      </c>
      <c r="D41" s="92" t="s">
        <v>131</v>
      </c>
      <c r="E41" s="92" t="s">
        <v>132</v>
      </c>
      <c r="F41" s="92" t="s">
        <v>133</v>
      </c>
      <c r="G41" s="92" t="s">
        <v>134</v>
      </c>
      <c r="H41" s="101" t="s">
        <v>135</v>
      </c>
    </row>
    <row r="42" spans="1:8" s="75" customFormat="1" ht="15.5" thickBot="1" x14ac:dyDescent="0.3">
      <c r="A42" s="102" t="s">
        <v>136</v>
      </c>
      <c r="B42" s="95">
        <f>'övezetek rendelet szeint'!$B$6/365*A40</f>
        <v>62136.98630136987</v>
      </c>
      <c r="C42" s="95">
        <f>'övezetek rendelet szeint'!$C$6/365*A40</f>
        <v>65243.835616438351</v>
      </c>
      <c r="D42" s="95">
        <f>'övezetek rendelet szeint'!$E$6/365*A40</f>
        <v>104390.13698630137</v>
      </c>
      <c r="E42" s="95">
        <f>'övezetek rendelet szeint'!$G$6/365*A40</f>
        <v>156585.20547945204</v>
      </c>
      <c r="F42" s="95">
        <f>'övezetek rendelet szeint'!$H$6/365*A40</f>
        <v>260975.34246575341</v>
      </c>
      <c r="G42" s="95">
        <f>'övezetek rendelet szeint'!$I$6/365*A40</f>
        <v>481561.64383561641</v>
      </c>
      <c r="H42" s="95">
        <f>'övezetek rendelet szeint'!$J$6/365*A40</f>
        <v>782926.02739726019</v>
      </c>
    </row>
    <row r="43" spans="1:8" s="75" customFormat="1" ht="15.5" thickBot="1" x14ac:dyDescent="0.3">
      <c r="A43" s="102" t="s">
        <v>137</v>
      </c>
      <c r="B43" s="95">
        <f>'övezetek rendelet szeint'!$B$7/365*A40</f>
        <v>62136.98630136987</v>
      </c>
      <c r="C43" s="95">
        <f>'övezetek rendelet szeint'!$C$7/365*A40</f>
        <v>65243.835616438351</v>
      </c>
      <c r="D43" s="95">
        <f>'övezetek rendelet szeint'!$E$7/365*A40</f>
        <v>104390.13698630137</v>
      </c>
      <c r="E43" s="95">
        <f>'övezetek rendelet szeint'!$G$7/365*A40</f>
        <v>156585.20547945204</v>
      </c>
      <c r="F43" s="95">
        <f>'övezetek rendelet szeint'!$H$7/365*A40</f>
        <v>260975.34246575341</v>
      </c>
      <c r="G43" s="95">
        <f>'övezetek rendelet szeint'!$I$7/365*A40</f>
        <v>481561.64383561641</v>
      </c>
      <c r="H43" s="95">
        <f>'övezetek rendelet szeint'!$J$7/365*A40</f>
        <v>782926.02739726019</v>
      </c>
    </row>
    <row r="44" spans="1:8" s="75" customFormat="1" ht="15.5" thickBot="1" x14ac:dyDescent="0.3">
      <c r="A44" s="102" t="s">
        <v>138</v>
      </c>
      <c r="B44" s="95">
        <f>'övezetek rendelet szeint'!$B$8/365*A40</f>
        <v>62136.98630136987</v>
      </c>
      <c r="C44" s="95">
        <f>'övezetek rendelet szeint'!$C$8/365*A40</f>
        <v>65243.835616438351</v>
      </c>
      <c r="D44" s="95">
        <f>'övezetek rendelet szeint'!$E$8/365*A40</f>
        <v>104390.13698630137</v>
      </c>
      <c r="E44" s="95">
        <f>'övezetek rendelet szeint'!$G$8/365*A40</f>
        <v>156585.20547945204</v>
      </c>
      <c r="F44" s="95">
        <f>'övezetek rendelet szeint'!$H$8/365*A40</f>
        <v>260975.34246575341</v>
      </c>
      <c r="G44" s="95">
        <f>'övezetek rendelet szeint'!$I$8/365*A40</f>
        <v>481561.64383561641</v>
      </c>
      <c r="H44" s="95">
        <f>'övezetek rendelet szeint'!$J$8/365*A40</f>
        <v>782926.02739726019</v>
      </c>
    </row>
    <row r="45" spans="1:8" s="75" customFormat="1" ht="15.5" thickBot="1" x14ac:dyDescent="0.3">
      <c r="A45" s="103" t="s">
        <v>139</v>
      </c>
      <c r="B45" s="95">
        <f>'övezetek rendelet szeint'!$B$9/365*A40</f>
        <v>62136.98630136987</v>
      </c>
      <c r="C45" s="95">
        <f>'övezetek rendelet szeint'!$C$9/365*A40</f>
        <v>65243.835616438351</v>
      </c>
      <c r="D45" s="95">
        <f>'övezetek rendelet szeint'!$E$9/365*A40</f>
        <v>104390.13698630137</v>
      </c>
      <c r="E45" s="95">
        <f>'övezetek rendelet szeint'!$G$9/365*A40</f>
        <v>156585.20547945204</v>
      </c>
      <c r="F45" s="95">
        <f>'övezetek rendelet szeint'!$H$9/365*A40</f>
        <v>260975.34246575341</v>
      </c>
      <c r="G45" s="95">
        <f>'övezetek rendelet szeint'!$I$9/365*A40</f>
        <v>481561.64383561641</v>
      </c>
      <c r="H45" s="95">
        <f>'övezetek rendelet szeint'!$J$9/365*A40</f>
        <v>782926.02739726019</v>
      </c>
    </row>
    <row r="46" spans="1:8" s="75" customFormat="1" ht="13" thickTop="1" x14ac:dyDescent="0.25"/>
    <row r="47" spans="1:8" s="75" customFormat="1" ht="13" thickBot="1" x14ac:dyDescent="0.3"/>
    <row r="48" spans="1:8" s="75" customFormat="1" ht="16.5" thickTop="1" thickBot="1" x14ac:dyDescent="0.3">
      <c r="A48" s="133" t="s">
        <v>140</v>
      </c>
      <c r="B48" s="134"/>
      <c r="C48" s="134"/>
      <c r="D48" s="134"/>
      <c r="E48" s="134"/>
      <c r="F48" s="134"/>
      <c r="G48" s="134"/>
      <c r="H48" s="135"/>
    </row>
    <row r="49" spans="1:8" s="75" customFormat="1" ht="16" thickBot="1" x14ac:dyDescent="0.3">
      <c r="A49" s="88">
        <v>1</v>
      </c>
      <c r="H49" s="76"/>
    </row>
    <row r="50" spans="1:8" s="75" customFormat="1" ht="30.5" thickBot="1" x14ac:dyDescent="0.3">
      <c r="A50" s="100" t="s">
        <v>128</v>
      </c>
      <c r="B50" s="92" t="s">
        <v>141</v>
      </c>
      <c r="C50" s="92" t="s">
        <v>142</v>
      </c>
      <c r="D50" s="92" t="s">
        <v>143</v>
      </c>
      <c r="E50" s="92" t="s">
        <v>144</v>
      </c>
      <c r="F50" s="92" t="s">
        <v>133</v>
      </c>
      <c r="G50" s="92" t="s">
        <v>134</v>
      </c>
      <c r="H50" s="101" t="s">
        <v>145</v>
      </c>
    </row>
    <row r="51" spans="1:8" s="75" customFormat="1" ht="15.5" thickBot="1" x14ac:dyDescent="0.3">
      <c r="A51" s="102" t="s">
        <v>146</v>
      </c>
      <c r="B51" s="132">
        <f>'övezetek rendelet szeint'!$D$12/365*A49</f>
        <v>172.60273972602741</v>
      </c>
      <c r="C51" s="132">
        <f>'övezetek rendelet szeint'!$E$12/365*A49</f>
        <v>253.72602739726028</v>
      </c>
      <c r="D51" s="132">
        <f>'övezetek rendelet szeint'!$F$12/365*A49</f>
        <v>326.21917808219177</v>
      </c>
      <c r="E51" s="132">
        <f>'övezetek rendelet szeint'!$G$12/365*A49</f>
        <v>326.21917808219177</v>
      </c>
      <c r="F51" s="132">
        <f>'övezetek rendelet szeint'!$H$12/365*A49</f>
        <v>543.69863013698625</v>
      </c>
      <c r="G51" s="132">
        <f>'övezetek rendelet szeint'!$I$12/365*A49</f>
        <v>1087.3972602739725</v>
      </c>
      <c r="H51" s="132">
        <f>'övezetek rendelet szeint'!$J$12/365*A49</f>
        <v>1812.3287671232877</v>
      </c>
    </row>
    <row r="52" spans="1:8" s="75" customFormat="1" ht="15.5" thickBot="1" x14ac:dyDescent="0.3">
      <c r="A52" s="102" t="s">
        <v>147</v>
      </c>
      <c r="B52" s="132">
        <f>'övezetek rendelet szeint'!$D$13/365*A49</f>
        <v>172.60273972602741</v>
      </c>
      <c r="C52" s="132">
        <f>'övezetek rendelet szeint'!$E$13/365*A49</f>
        <v>253.72602739726028</v>
      </c>
      <c r="D52" s="132">
        <f>'övezetek rendelet szeint'!$F$13/365*A49</f>
        <v>326.21917808219177</v>
      </c>
      <c r="E52" s="132">
        <f>'övezetek rendelet szeint'!$G$13/365*A49</f>
        <v>326.21917808219177</v>
      </c>
      <c r="F52" s="132">
        <f>'övezetek rendelet szeint'!$H$13/365*A49</f>
        <v>543.69863013698625</v>
      </c>
      <c r="G52" s="132">
        <f>'övezetek rendelet szeint'!$I$13/365*A49</f>
        <v>1087.3972602739725</v>
      </c>
      <c r="H52" s="132">
        <f>'övezetek rendelet szeint'!$J$13/365*A49</f>
        <v>1812.3287671232877</v>
      </c>
    </row>
    <row r="53" spans="1:8" s="75" customFormat="1" ht="15.5" thickBot="1" x14ac:dyDescent="0.3">
      <c r="A53" s="102" t="s">
        <v>148</v>
      </c>
      <c r="B53" s="132">
        <f>'övezetek rendelet szeint'!$D$14/365*A49</f>
        <v>172.60273972602741</v>
      </c>
      <c r="C53" s="132">
        <f>'övezetek rendelet szeint'!$E$14/365*A49</f>
        <v>253.72602739726028</v>
      </c>
      <c r="D53" s="132">
        <f>'övezetek rendelet szeint'!$F$14/365*A49</f>
        <v>326.21917808219177</v>
      </c>
      <c r="E53" s="132">
        <f>'övezetek rendelet szeint'!$G$14/365*A49</f>
        <v>326.21917808219177</v>
      </c>
      <c r="F53" s="132">
        <f>'övezetek rendelet szeint'!$H$14/365*A49</f>
        <v>543.69863013698625</v>
      </c>
      <c r="G53" s="132">
        <f>'övezetek rendelet szeint'!$I$14/365*A49</f>
        <v>1087.3972602739725</v>
      </c>
      <c r="H53" s="132">
        <f>'övezetek rendelet szeint'!$J$14/365*A49</f>
        <v>1812.3287671232877</v>
      </c>
    </row>
    <row r="54" spans="1:8" s="75" customFormat="1" ht="15" x14ac:dyDescent="0.25">
      <c r="A54" s="81"/>
      <c r="B54" s="82"/>
      <c r="C54" s="82"/>
      <c r="D54" s="82"/>
      <c r="E54" s="82"/>
      <c r="F54" s="82"/>
      <c r="G54" s="82"/>
      <c r="H54" s="131"/>
    </row>
    <row r="55" spans="1:8" s="75" customFormat="1" ht="15" x14ac:dyDescent="0.25">
      <c r="A55" s="81"/>
      <c r="B55" s="82"/>
      <c r="C55" s="82"/>
      <c r="D55" s="82"/>
      <c r="E55" s="82"/>
      <c r="F55" s="82"/>
      <c r="G55" s="82"/>
      <c r="H55" s="131"/>
    </row>
    <row r="56" spans="1:8" s="75" customFormat="1" ht="13" thickBot="1" x14ac:dyDescent="0.3">
      <c r="A56" s="74"/>
      <c r="H56" s="76"/>
    </row>
    <row r="57" spans="1:8" s="75" customFormat="1" ht="16" thickBot="1" x14ac:dyDescent="0.3">
      <c r="A57" s="88">
        <v>7</v>
      </c>
      <c r="H57" s="76"/>
    </row>
    <row r="58" spans="1:8" s="75" customFormat="1" ht="30.5" thickBot="1" x14ac:dyDescent="0.3">
      <c r="A58" s="100" t="s">
        <v>128</v>
      </c>
      <c r="B58" s="92" t="s">
        <v>141</v>
      </c>
      <c r="C58" s="92" t="s">
        <v>142</v>
      </c>
      <c r="D58" s="92" t="s">
        <v>143</v>
      </c>
      <c r="E58" s="92" t="s">
        <v>144</v>
      </c>
      <c r="F58" s="92" t="s">
        <v>133</v>
      </c>
      <c r="G58" s="92" t="s">
        <v>134</v>
      </c>
      <c r="H58" s="101" t="s">
        <v>145</v>
      </c>
    </row>
    <row r="59" spans="1:8" s="75" customFormat="1" ht="15.5" thickBot="1" x14ac:dyDescent="0.3">
      <c r="A59" s="102" t="s">
        <v>146</v>
      </c>
      <c r="B59" s="132">
        <f>'övezetek rendelet szeint'!$D$12/365*A57</f>
        <v>1208.2191780821918</v>
      </c>
      <c r="C59" s="132">
        <f>'övezetek rendelet szeint'!$E$12/365*A57</f>
        <v>1776.0821917808221</v>
      </c>
      <c r="D59" s="132">
        <f>'övezetek rendelet szeint'!$F$12/365*A57</f>
        <v>2283.5342465753424</v>
      </c>
      <c r="E59" s="132">
        <f>'övezetek rendelet szeint'!$G$12/365*A57</f>
        <v>2283.5342465753424</v>
      </c>
      <c r="F59" s="132">
        <f>'övezetek rendelet szeint'!$H$12/365*A57</f>
        <v>3805.8904109589039</v>
      </c>
      <c r="G59" s="132">
        <f>'övezetek rendelet szeint'!$I$12/365*A57</f>
        <v>7611.7808219178078</v>
      </c>
      <c r="H59" s="132">
        <f>'övezetek rendelet szeint'!$J$12/365*A57</f>
        <v>12686.301369863013</v>
      </c>
    </row>
    <row r="60" spans="1:8" s="75" customFormat="1" ht="15.5" thickBot="1" x14ac:dyDescent="0.3">
      <c r="A60" s="102" t="s">
        <v>147</v>
      </c>
      <c r="B60" s="132">
        <f>'övezetek rendelet szeint'!$D$13/365*A57</f>
        <v>1208.2191780821918</v>
      </c>
      <c r="C60" s="132">
        <f>'övezetek rendelet szeint'!$E$13/365*A57</f>
        <v>1776.0821917808221</v>
      </c>
      <c r="D60" s="132">
        <f>'övezetek rendelet szeint'!$F$13/365*A57</f>
        <v>2283.5342465753424</v>
      </c>
      <c r="E60" s="132">
        <f>'övezetek rendelet szeint'!$G$13/365*A57</f>
        <v>2283.5342465753424</v>
      </c>
      <c r="F60" s="132">
        <f>'övezetek rendelet szeint'!$H$13/365*A57</f>
        <v>3805.8904109589039</v>
      </c>
      <c r="G60" s="132">
        <f>'övezetek rendelet szeint'!$I$13/365*A57</f>
        <v>7611.7808219178078</v>
      </c>
      <c r="H60" s="132">
        <f>'övezetek rendelet szeint'!$J$13/365*A57</f>
        <v>12686.301369863013</v>
      </c>
    </row>
    <row r="61" spans="1:8" s="75" customFormat="1" ht="15.5" thickBot="1" x14ac:dyDescent="0.3">
      <c r="A61" s="102" t="s">
        <v>148</v>
      </c>
      <c r="B61" s="132">
        <f>'övezetek rendelet szeint'!$D$14/365*A57</f>
        <v>1208.2191780821918</v>
      </c>
      <c r="C61" s="132">
        <f>'övezetek rendelet szeint'!$E$14/365*A57</f>
        <v>1776.0821917808221</v>
      </c>
      <c r="D61" s="132">
        <f>'övezetek rendelet szeint'!$F$14/365*A57</f>
        <v>2283.5342465753424</v>
      </c>
      <c r="E61" s="132">
        <f>'övezetek rendelet szeint'!$G$14/365*A57</f>
        <v>2283.5342465753424</v>
      </c>
      <c r="F61" s="132">
        <f>'övezetek rendelet szeint'!$H$14/365*A57</f>
        <v>3805.8904109589039</v>
      </c>
      <c r="G61" s="132">
        <f>'övezetek rendelet szeint'!$I$14/365*A57</f>
        <v>7611.7808219178078</v>
      </c>
      <c r="H61" s="132">
        <f>'övezetek rendelet szeint'!$J$14/365*A57</f>
        <v>12686.301369863013</v>
      </c>
    </row>
    <row r="62" spans="1:8" s="75" customFormat="1" ht="13" thickBot="1" x14ac:dyDescent="0.3">
      <c r="A62" s="74"/>
      <c r="H62" s="76"/>
    </row>
    <row r="63" spans="1:8" s="75" customFormat="1" ht="16" thickBot="1" x14ac:dyDescent="0.3">
      <c r="A63" s="88">
        <v>15</v>
      </c>
      <c r="H63" s="76"/>
    </row>
    <row r="64" spans="1:8" s="75" customFormat="1" ht="30.5" thickBot="1" x14ac:dyDescent="0.3">
      <c r="A64" s="100" t="s">
        <v>128</v>
      </c>
      <c r="B64" s="92" t="s">
        <v>141</v>
      </c>
      <c r="C64" s="92" t="s">
        <v>142</v>
      </c>
      <c r="D64" s="92" t="s">
        <v>143</v>
      </c>
      <c r="E64" s="92" t="s">
        <v>144</v>
      </c>
      <c r="F64" s="92" t="s">
        <v>133</v>
      </c>
      <c r="G64" s="92" t="s">
        <v>134</v>
      </c>
      <c r="H64" s="101" t="s">
        <v>145</v>
      </c>
    </row>
    <row r="65" spans="1:8" s="75" customFormat="1" ht="15.5" thickBot="1" x14ac:dyDescent="0.3">
      <c r="A65" s="102" t="s">
        <v>146</v>
      </c>
      <c r="B65" s="132">
        <f>'övezetek rendelet szeint'!$D$12/365*A63</f>
        <v>2589.0410958904113</v>
      </c>
      <c r="C65" s="132">
        <f>'övezetek rendelet szeint'!$E$12/365*A63</f>
        <v>3805.8904109589043</v>
      </c>
      <c r="D65" s="132">
        <f>'övezetek rendelet szeint'!$F$12/365*A63</f>
        <v>4893.2876712328762</v>
      </c>
      <c r="E65" s="132">
        <f>'övezetek rendelet szeint'!$G$12/365*A63</f>
        <v>4893.2876712328762</v>
      </c>
      <c r="F65" s="132">
        <f>'övezetek rendelet szeint'!$H$12/365*A63</f>
        <v>8155.4794520547939</v>
      </c>
      <c r="G65" s="132">
        <f>'övezetek rendelet szeint'!$I$12/365*A63</f>
        <v>16310.958904109588</v>
      </c>
      <c r="H65" s="132">
        <f>'övezetek rendelet szeint'!$J$12/365*A63</f>
        <v>27184.931506849316</v>
      </c>
    </row>
    <row r="66" spans="1:8" s="75" customFormat="1" ht="15.5" thickBot="1" x14ac:dyDescent="0.3">
      <c r="A66" s="102" t="s">
        <v>147</v>
      </c>
      <c r="B66" s="132">
        <f>'övezetek rendelet szeint'!$D$13/365*A63</f>
        <v>2589.0410958904113</v>
      </c>
      <c r="C66" s="132">
        <f>'övezetek rendelet szeint'!$E$13/365*A63</f>
        <v>3805.8904109589043</v>
      </c>
      <c r="D66" s="132">
        <f>'övezetek rendelet szeint'!$F$13/365*A63</f>
        <v>4893.2876712328762</v>
      </c>
      <c r="E66" s="132">
        <f>'övezetek rendelet szeint'!$G$13/365*A63</f>
        <v>4893.2876712328762</v>
      </c>
      <c r="F66" s="132">
        <f>'övezetek rendelet szeint'!$H$13/365*A63</f>
        <v>8155.4794520547939</v>
      </c>
      <c r="G66" s="132">
        <f>'övezetek rendelet szeint'!$I$13/365*A63</f>
        <v>16310.958904109588</v>
      </c>
      <c r="H66" s="132">
        <f>'övezetek rendelet szeint'!$J$13/365*A63</f>
        <v>27184.931506849316</v>
      </c>
    </row>
    <row r="67" spans="1:8" s="75" customFormat="1" ht="15.5" thickBot="1" x14ac:dyDescent="0.3">
      <c r="A67" s="102" t="s">
        <v>148</v>
      </c>
      <c r="B67" s="132">
        <f>'övezetek rendelet szeint'!$D$14/365*A63</f>
        <v>2589.0410958904113</v>
      </c>
      <c r="C67" s="132">
        <f>'övezetek rendelet szeint'!$E$14/365*A63</f>
        <v>3805.8904109589043</v>
      </c>
      <c r="D67" s="132">
        <f>'övezetek rendelet szeint'!$F$14/365*A63</f>
        <v>4893.2876712328762</v>
      </c>
      <c r="E67" s="132">
        <f>'övezetek rendelet szeint'!$G$14/365*A63</f>
        <v>4893.2876712328762</v>
      </c>
      <c r="F67" s="132">
        <f>'övezetek rendelet szeint'!$H$14/365*A63</f>
        <v>8155.4794520547939</v>
      </c>
      <c r="G67" s="132">
        <f>'övezetek rendelet szeint'!$I$14/365*A63</f>
        <v>16310.958904109588</v>
      </c>
      <c r="H67" s="132">
        <f>'övezetek rendelet szeint'!$J$14/365*A63</f>
        <v>27184.931506849316</v>
      </c>
    </row>
    <row r="68" spans="1:8" s="75" customFormat="1" ht="13" thickBot="1" x14ac:dyDescent="0.3">
      <c r="A68" s="74"/>
      <c r="H68" s="76"/>
    </row>
    <row r="69" spans="1:8" s="75" customFormat="1" ht="16" thickBot="1" x14ac:dyDescent="0.3">
      <c r="A69" s="88">
        <v>30</v>
      </c>
      <c r="H69" s="76"/>
    </row>
    <row r="70" spans="1:8" s="75" customFormat="1" ht="30.5" thickBot="1" x14ac:dyDescent="0.3">
      <c r="A70" s="100" t="s">
        <v>128</v>
      </c>
      <c r="B70" s="92" t="s">
        <v>141</v>
      </c>
      <c r="C70" s="92" t="s">
        <v>142</v>
      </c>
      <c r="D70" s="92" t="s">
        <v>143</v>
      </c>
      <c r="E70" s="92" t="s">
        <v>144</v>
      </c>
      <c r="F70" s="92" t="s">
        <v>133</v>
      </c>
      <c r="G70" s="92" t="s">
        <v>134</v>
      </c>
      <c r="H70" s="101" t="s">
        <v>145</v>
      </c>
    </row>
    <row r="71" spans="1:8" s="75" customFormat="1" ht="15.5" thickBot="1" x14ac:dyDescent="0.3">
      <c r="A71" s="102" t="s">
        <v>146</v>
      </c>
      <c r="B71" s="132">
        <f>'övezetek rendelet szeint'!$D$12/365*A69</f>
        <v>5178.0821917808225</v>
      </c>
      <c r="C71" s="132">
        <f>'övezetek rendelet szeint'!$E$12/365*A69</f>
        <v>7611.7808219178087</v>
      </c>
      <c r="D71" s="132">
        <f>'övezetek rendelet szeint'!$F$12/365*A69</f>
        <v>9786.5753424657523</v>
      </c>
      <c r="E71" s="132">
        <f>'övezetek rendelet szeint'!$G$12/365*A69</f>
        <v>9786.5753424657523</v>
      </c>
      <c r="F71" s="132">
        <f>'övezetek rendelet szeint'!$H$12/365*A69</f>
        <v>16310.958904109588</v>
      </c>
      <c r="G71" s="132">
        <f>'övezetek rendelet szeint'!$I$12/365*A69</f>
        <v>32621.917808219176</v>
      </c>
      <c r="H71" s="132">
        <f>'övezetek rendelet szeint'!$J$12/365*A69</f>
        <v>54369.863013698632</v>
      </c>
    </row>
    <row r="72" spans="1:8" s="75" customFormat="1" ht="15.5" thickBot="1" x14ac:dyDescent="0.3">
      <c r="A72" s="102" t="s">
        <v>147</v>
      </c>
      <c r="B72" s="132">
        <f>'övezetek rendelet szeint'!$D$13/365*A69</f>
        <v>5178.0821917808225</v>
      </c>
      <c r="C72" s="132">
        <f>'övezetek rendelet szeint'!$E$13/365*A69</f>
        <v>7611.7808219178087</v>
      </c>
      <c r="D72" s="132">
        <f>'övezetek rendelet szeint'!$F$13/365*A69</f>
        <v>9786.5753424657523</v>
      </c>
      <c r="E72" s="132">
        <f>'övezetek rendelet szeint'!$G$13/365*A69</f>
        <v>9786.5753424657523</v>
      </c>
      <c r="F72" s="132">
        <f>'övezetek rendelet szeint'!$H$13/365*A69</f>
        <v>16310.958904109588</v>
      </c>
      <c r="G72" s="132">
        <f>'övezetek rendelet szeint'!$I$13/365*A69</f>
        <v>32621.917808219176</v>
      </c>
      <c r="H72" s="132">
        <f>'övezetek rendelet szeint'!$J$13/365*A69</f>
        <v>54369.863013698632</v>
      </c>
    </row>
    <row r="73" spans="1:8" s="75" customFormat="1" ht="15.5" thickBot="1" x14ac:dyDescent="0.3">
      <c r="A73" s="102" t="s">
        <v>148</v>
      </c>
      <c r="B73" s="132">
        <f>'övezetek rendelet szeint'!$D$14/365*A69</f>
        <v>5178.0821917808225</v>
      </c>
      <c r="C73" s="132">
        <f>'övezetek rendelet szeint'!$E$14/365*A69</f>
        <v>7611.7808219178087</v>
      </c>
      <c r="D73" s="132">
        <f>'övezetek rendelet szeint'!$F$14/365*A69</f>
        <v>9786.5753424657523</v>
      </c>
      <c r="E73" s="132">
        <f>'övezetek rendelet szeint'!$G$14/365*A69</f>
        <v>9786.5753424657523</v>
      </c>
      <c r="F73" s="132">
        <f>'övezetek rendelet szeint'!$H$14/365*A69</f>
        <v>16310.958904109588</v>
      </c>
      <c r="G73" s="132">
        <f>'övezetek rendelet szeint'!$I$14/365*A69</f>
        <v>32621.917808219176</v>
      </c>
      <c r="H73" s="132">
        <f>'övezetek rendelet szeint'!$J$14/365*A69</f>
        <v>54369.863013698632</v>
      </c>
    </row>
    <row r="74" spans="1:8" s="75" customFormat="1" ht="13" thickBot="1" x14ac:dyDescent="0.3">
      <c r="A74" s="74"/>
      <c r="H74" s="76"/>
    </row>
    <row r="75" spans="1:8" s="75" customFormat="1" ht="16" thickBot="1" x14ac:dyDescent="0.3">
      <c r="A75" s="88">
        <v>180</v>
      </c>
      <c r="H75" s="76"/>
    </row>
    <row r="76" spans="1:8" s="75" customFormat="1" ht="30.5" thickBot="1" x14ac:dyDescent="0.3">
      <c r="A76" s="100" t="s">
        <v>128</v>
      </c>
      <c r="B76" s="92" t="s">
        <v>141</v>
      </c>
      <c r="C76" s="92" t="s">
        <v>142</v>
      </c>
      <c r="D76" s="92" t="s">
        <v>143</v>
      </c>
      <c r="E76" s="92" t="s">
        <v>144</v>
      </c>
      <c r="F76" s="92" t="s">
        <v>133</v>
      </c>
      <c r="G76" s="92" t="s">
        <v>134</v>
      </c>
      <c r="H76" s="101" t="s">
        <v>145</v>
      </c>
    </row>
    <row r="77" spans="1:8" s="75" customFormat="1" ht="15.5" thickBot="1" x14ac:dyDescent="0.3">
      <c r="A77" s="102" t="s">
        <v>146</v>
      </c>
      <c r="B77" s="132">
        <f>'övezetek rendelet szeint'!$D$12/365*A75</f>
        <v>31068.493150684935</v>
      </c>
      <c r="C77" s="132">
        <f>'övezetek rendelet szeint'!$E$12/365*A75</f>
        <v>45670.684931506854</v>
      </c>
      <c r="D77" s="132">
        <f>'övezetek rendelet szeint'!$F$12/365*A75</f>
        <v>58719.452054794521</v>
      </c>
      <c r="E77" s="132">
        <f>'övezetek rendelet szeint'!$G$12/365*A75</f>
        <v>58719.452054794521</v>
      </c>
      <c r="F77" s="132">
        <f>'övezetek rendelet szeint'!$H$12/365*A75</f>
        <v>97865.753424657523</v>
      </c>
      <c r="G77" s="132">
        <f>'övezetek rendelet szeint'!$I$12/365*A75</f>
        <v>195731.50684931505</v>
      </c>
      <c r="H77" s="132">
        <f>'övezetek rendelet szeint'!$J$12/365*A75</f>
        <v>326219.17808219179</v>
      </c>
    </row>
    <row r="78" spans="1:8" s="75" customFormat="1" ht="15.5" thickBot="1" x14ac:dyDescent="0.3">
      <c r="A78" s="102" t="s">
        <v>147</v>
      </c>
      <c r="B78" s="132">
        <f>'övezetek rendelet szeint'!$D$13/365*A75</f>
        <v>31068.493150684935</v>
      </c>
      <c r="C78" s="132">
        <f>'övezetek rendelet szeint'!$E$13/365*A75</f>
        <v>45670.684931506854</v>
      </c>
      <c r="D78" s="132">
        <f>'övezetek rendelet szeint'!$F$13/365*A75</f>
        <v>58719.452054794521</v>
      </c>
      <c r="E78" s="132">
        <f>'övezetek rendelet szeint'!$G$13/365*A75</f>
        <v>58719.452054794521</v>
      </c>
      <c r="F78" s="132">
        <f>'övezetek rendelet szeint'!$H$13/365*A75</f>
        <v>97865.753424657523</v>
      </c>
      <c r="G78" s="132">
        <f>'övezetek rendelet szeint'!$I$13/365*A75</f>
        <v>195731.50684931505</v>
      </c>
      <c r="H78" s="132">
        <f>'övezetek rendelet szeint'!$J$13/365*A75</f>
        <v>326219.17808219179</v>
      </c>
    </row>
    <row r="79" spans="1:8" s="75" customFormat="1" ht="15.5" thickBot="1" x14ac:dyDescent="0.3">
      <c r="A79" s="102" t="s">
        <v>148</v>
      </c>
      <c r="B79" s="132">
        <f>'övezetek rendelet szeint'!$D$14/365*A75</f>
        <v>31068.493150684935</v>
      </c>
      <c r="C79" s="132">
        <f>'övezetek rendelet szeint'!$E$14/365*A75</f>
        <v>45670.684931506854</v>
      </c>
      <c r="D79" s="132">
        <f>'övezetek rendelet szeint'!$F$14/365*A75</f>
        <v>58719.452054794521</v>
      </c>
      <c r="E79" s="132">
        <f>'övezetek rendelet szeint'!$G$14/365*A75</f>
        <v>58719.452054794521</v>
      </c>
      <c r="F79" s="132">
        <f>'övezetek rendelet szeint'!$H$14/365*A75</f>
        <v>97865.753424657523</v>
      </c>
      <c r="G79" s="132">
        <f>'övezetek rendelet szeint'!$I$14/365*A75</f>
        <v>195731.50684931505</v>
      </c>
      <c r="H79" s="132">
        <f>'övezetek rendelet szeint'!$J$14/365*A75</f>
        <v>326219.17808219179</v>
      </c>
    </row>
    <row r="80" spans="1:8" s="75" customFormat="1" ht="13" thickBot="1" x14ac:dyDescent="0.3">
      <c r="A80" s="74"/>
      <c r="H80" s="76"/>
    </row>
    <row r="81" spans="1:8" s="75" customFormat="1" ht="16" thickBot="1" x14ac:dyDescent="0.3">
      <c r="A81" s="88">
        <v>360</v>
      </c>
      <c r="H81" s="76"/>
    </row>
    <row r="82" spans="1:8" s="75" customFormat="1" ht="30.5" thickBot="1" x14ac:dyDescent="0.3">
      <c r="A82" s="100" t="s">
        <v>128</v>
      </c>
      <c r="B82" s="92" t="s">
        <v>141</v>
      </c>
      <c r="C82" s="92" t="s">
        <v>142</v>
      </c>
      <c r="D82" s="92" t="s">
        <v>143</v>
      </c>
      <c r="E82" s="92" t="s">
        <v>144</v>
      </c>
      <c r="F82" s="92" t="s">
        <v>133</v>
      </c>
      <c r="G82" s="92" t="s">
        <v>134</v>
      </c>
      <c r="H82" s="101" t="s">
        <v>145</v>
      </c>
    </row>
    <row r="83" spans="1:8" s="75" customFormat="1" ht="15.5" thickBot="1" x14ac:dyDescent="0.3">
      <c r="A83" s="102" t="s">
        <v>146</v>
      </c>
      <c r="B83" s="132">
        <f>'övezetek rendelet szeint'!$D$12/365*A81</f>
        <v>62136.98630136987</v>
      </c>
      <c r="C83" s="132">
        <f>'övezetek rendelet szeint'!$E$12/365*A81</f>
        <v>91341.369863013708</v>
      </c>
      <c r="D83" s="132">
        <f>'övezetek rendelet szeint'!$F$12/365*A81</f>
        <v>117438.90410958904</v>
      </c>
      <c r="E83" s="132">
        <f>'övezetek rendelet szeint'!$G$12/365*A81</f>
        <v>117438.90410958904</v>
      </c>
      <c r="F83" s="132">
        <f>'övezetek rendelet szeint'!$H$12/365*A81</f>
        <v>195731.50684931505</v>
      </c>
      <c r="G83" s="132">
        <f>'övezetek rendelet szeint'!$I$12/365*A81</f>
        <v>391463.01369863009</v>
      </c>
      <c r="H83" s="132">
        <f>'övezetek rendelet szeint'!$J$12/365*A81</f>
        <v>652438.35616438359</v>
      </c>
    </row>
    <row r="84" spans="1:8" s="75" customFormat="1" ht="15.5" thickBot="1" x14ac:dyDescent="0.3">
      <c r="A84" s="102" t="s">
        <v>147</v>
      </c>
      <c r="B84" s="132">
        <f>'övezetek rendelet szeint'!$D$13/365*A81</f>
        <v>62136.98630136987</v>
      </c>
      <c r="C84" s="132">
        <f>'övezetek rendelet szeint'!$E$13/365*A81</f>
        <v>91341.369863013708</v>
      </c>
      <c r="D84" s="132">
        <f>'övezetek rendelet szeint'!$F$13/365*A81</f>
        <v>117438.90410958904</v>
      </c>
      <c r="E84" s="132">
        <f>'övezetek rendelet szeint'!$G$13/365*A81</f>
        <v>117438.90410958904</v>
      </c>
      <c r="F84" s="132">
        <f>'övezetek rendelet szeint'!$H$13/365*A81</f>
        <v>195731.50684931505</v>
      </c>
      <c r="G84" s="132">
        <f>'övezetek rendelet szeint'!$I$13/365*A81</f>
        <v>391463.01369863009</v>
      </c>
      <c r="H84" s="132">
        <f>'övezetek rendelet szeint'!$J$13/365*A81</f>
        <v>652438.35616438359</v>
      </c>
    </row>
    <row r="85" spans="1:8" s="75" customFormat="1" ht="15.5" thickBot="1" x14ac:dyDescent="0.3">
      <c r="A85" s="102" t="s">
        <v>148</v>
      </c>
      <c r="B85" s="132">
        <f>'övezetek rendelet szeint'!$D$14/365*A81</f>
        <v>62136.98630136987</v>
      </c>
      <c r="C85" s="132">
        <f>'övezetek rendelet szeint'!$E$14/365*A81</f>
        <v>91341.369863013708</v>
      </c>
      <c r="D85" s="132">
        <f>'övezetek rendelet szeint'!$F$14/365*A81</f>
        <v>117438.90410958904</v>
      </c>
      <c r="E85" s="132">
        <f>'övezetek rendelet szeint'!$G$14/365*A81</f>
        <v>117438.90410958904</v>
      </c>
      <c r="F85" s="132">
        <f>'övezetek rendelet szeint'!$H$14/365*A81</f>
        <v>195731.50684931505</v>
      </c>
      <c r="G85" s="132">
        <f>'övezetek rendelet szeint'!$I$14/365*A81</f>
        <v>391463.01369863009</v>
      </c>
      <c r="H85" s="132">
        <f>'övezetek rendelet szeint'!$J$14/365*A81</f>
        <v>652438.35616438359</v>
      </c>
    </row>
    <row r="86" spans="1:8" s="75" customFormat="1" x14ac:dyDescent="0.25"/>
    <row r="87" spans="1:8" s="75" customFormat="1" ht="13" thickBot="1" x14ac:dyDescent="0.3"/>
    <row r="88" spans="1:8" s="75" customFormat="1" ht="16.5" thickTop="1" thickBot="1" x14ac:dyDescent="0.3">
      <c r="A88" s="349" t="s">
        <v>149</v>
      </c>
      <c r="B88" s="350"/>
      <c r="C88" s="350"/>
      <c r="D88" s="350"/>
      <c r="E88" s="350"/>
      <c r="F88" s="351"/>
    </row>
    <row r="89" spans="1:8" s="75" customFormat="1" ht="16" thickBot="1" x14ac:dyDescent="0.3">
      <c r="A89" s="89">
        <v>1</v>
      </c>
      <c r="F89" s="90"/>
    </row>
    <row r="90" spans="1:8" s="75" customFormat="1" ht="15.5" thickBot="1" x14ac:dyDescent="0.3">
      <c r="A90" s="91" t="s">
        <v>128</v>
      </c>
      <c r="B90" s="92" t="s">
        <v>150</v>
      </c>
      <c r="C90" s="92" t="s">
        <v>144</v>
      </c>
      <c r="D90" s="92" t="s">
        <v>133</v>
      </c>
      <c r="E90" s="92" t="s">
        <v>134</v>
      </c>
      <c r="F90" s="93" t="s">
        <v>145</v>
      </c>
    </row>
    <row r="91" spans="1:8" s="75" customFormat="1" ht="15.5" thickBot="1" x14ac:dyDescent="0.3">
      <c r="A91" s="94" t="s">
        <v>151</v>
      </c>
      <c r="B91" s="132">
        <f>'övezetek rendelet szeint'!$F$18/365*A89</f>
        <v>172.60273972602741</v>
      </c>
      <c r="C91" s="132">
        <f>'övezetek rendelet szeint'!$G$18/365*A89</f>
        <v>289.97260273972603</v>
      </c>
      <c r="D91" s="132">
        <f>'övezetek rendelet szeint'!$H$18/365*A89</f>
        <v>434.95890410958901</v>
      </c>
      <c r="E91" s="132">
        <f>'övezetek rendelet szeint'!$I$18/365*A89</f>
        <v>724.93150684931504</v>
      </c>
      <c r="F91" s="132">
        <f>'övezetek rendelet szeint'!$J$18/365*$A89</f>
        <v>1337.6712328767123</v>
      </c>
    </row>
    <row r="92" spans="1:8" s="75" customFormat="1" ht="15.5" thickBot="1" x14ac:dyDescent="0.3">
      <c r="A92" s="94" t="s">
        <v>152</v>
      </c>
      <c r="B92" s="132">
        <f>'övezetek rendelet szeint'!$F$19/365*A89</f>
        <v>172.60273972602741</v>
      </c>
      <c r="C92" s="132">
        <f>'övezetek rendelet szeint'!$G$19/365*A89</f>
        <v>289.97260273972603</v>
      </c>
      <c r="D92" s="132">
        <f>'övezetek rendelet szeint'!$H$19/365*A89</f>
        <v>434.95890410958901</v>
      </c>
      <c r="E92" s="132">
        <f>'övezetek rendelet szeint'!$I$19/365*A89</f>
        <v>724.93150684931504</v>
      </c>
      <c r="F92" s="132">
        <f>'övezetek rendelet szeint'!$J$19/365*$A89</f>
        <v>1337.6712328767123</v>
      </c>
    </row>
    <row r="93" spans="1:8" s="75" customFormat="1" ht="15.5" thickBot="1" x14ac:dyDescent="0.3">
      <c r="A93" s="94" t="s">
        <v>153</v>
      </c>
      <c r="B93" s="132">
        <f>'övezetek rendelet szeint'!$F$20/365*A89</f>
        <v>172.60273972602741</v>
      </c>
      <c r="C93" s="132">
        <f>'övezetek rendelet szeint'!$G$20/365*A89</f>
        <v>289.97260273972603</v>
      </c>
      <c r="D93" s="132">
        <f>'övezetek rendelet szeint'!$H$20/365*A89</f>
        <v>434.95890410958901</v>
      </c>
      <c r="E93" s="132">
        <f>'övezetek rendelet szeint'!$I$20/365*A89</f>
        <v>724.93150684931504</v>
      </c>
      <c r="F93" s="132">
        <f>'övezetek rendelet szeint'!$J$20/365*$A89</f>
        <v>1337.6712328767123</v>
      </c>
    </row>
    <row r="94" spans="1:8" s="75" customFormat="1" ht="15.5" thickBot="1" x14ac:dyDescent="0.3">
      <c r="A94" s="94" t="s">
        <v>154</v>
      </c>
      <c r="B94" s="132">
        <f>'övezetek rendelet szeint'!$F$21/365*A89</f>
        <v>172.60273972602741</v>
      </c>
      <c r="C94" s="132">
        <f>'övezetek rendelet szeint'!$G$21/365*A89</f>
        <v>289.97260273972603</v>
      </c>
      <c r="D94" s="132">
        <f>'övezetek rendelet szeint'!$H$21/365*A89</f>
        <v>434.95890410958901</v>
      </c>
      <c r="E94" s="132">
        <f>'övezetek rendelet szeint'!$I$21/365*A89</f>
        <v>724.93150684931504</v>
      </c>
      <c r="F94" s="132">
        <f>'övezetek rendelet szeint'!$J$21/365*$A89</f>
        <v>1337.6712328767123</v>
      </c>
    </row>
    <row r="95" spans="1:8" s="75" customFormat="1" ht="15.5" thickBot="1" x14ac:dyDescent="0.3">
      <c r="A95" s="94" t="s">
        <v>155</v>
      </c>
      <c r="B95" s="132">
        <f>'övezetek rendelet szeint'!$F$22/365*A89</f>
        <v>172.60273972602741</v>
      </c>
      <c r="C95" s="132">
        <f>'övezetek rendelet szeint'!$G$22/365*A89</f>
        <v>289.97260273972603</v>
      </c>
      <c r="D95" s="132">
        <f>'övezetek rendelet szeint'!$H$22/365*A89</f>
        <v>434.95890410958901</v>
      </c>
      <c r="E95" s="132">
        <f>'övezetek rendelet szeint'!$I$22/365*A89</f>
        <v>724.93150684931504</v>
      </c>
      <c r="F95" s="132">
        <f>'övezetek rendelet szeint'!$J$22/365*$A89</f>
        <v>1337.6712328767123</v>
      </c>
    </row>
    <row r="96" spans="1:8" s="75" customFormat="1" ht="15.5" thickBot="1" x14ac:dyDescent="0.3">
      <c r="A96" s="94" t="s">
        <v>139</v>
      </c>
      <c r="B96" s="132">
        <f>'övezetek rendelet szeint'!$F$23/365*A89</f>
        <v>172.60273972602741</v>
      </c>
      <c r="C96" s="132">
        <f>'övezetek rendelet szeint'!$G$23/365*A89</f>
        <v>289.97260273972603</v>
      </c>
      <c r="D96" s="132">
        <f>'övezetek rendelet szeint'!$H$23/365*A89</f>
        <v>434.95890410958901</v>
      </c>
      <c r="E96" s="132">
        <f>'övezetek rendelet szeint'!$I$23/365*A89</f>
        <v>724.93150684931504</v>
      </c>
      <c r="F96" s="132">
        <f>'övezetek rendelet szeint'!$J$23/365*$A89</f>
        <v>1337.6712328767123</v>
      </c>
    </row>
    <row r="97" spans="1:6" s="75" customFormat="1" ht="15.5" thickBot="1" x14ac:dyDescent="0.3">
      <c r="A97" s="94" t="s">
        <v>156</v>
      </c>
      <c r="B97" s="132">
        <f>'övezetek rendelet szeint'!$F$24/365*A89</f>
        <v>172.60273972602741</v>
      </c>
      <c r="C97" s="132">
        <f>'övezetek rendelet szeint'!$G$24/365*A89</f>
        <v>289.97260273972603</v>
      </c>
      <c r="D97" s="132">
        <f>'övezetek rendelet szeint'!$H$24/365*A89</f>
        <v>434.95890410958901</v>
      </c>
      <c r="E97" s="132">
        <f>'övezetek rendelet szeint'!$I$24/365*A89</f>
        <v>724.93150684931504</v>
      </c>
      <c r="F97" s="132">
        <f>'övezetek rendelet szeint'!$J$24/365*$A89</f>
        <v>1337.6712328767123</v>
      </c>
    </row>
    <row r="98" spans="1:6" s="75" customFormat="1" ht="13" thickBot="1" x14ac:dyDescent="0.3">
      <c r="A98" s="96"/>
      <c r="F98" s="90"/>
    </row>
    <row r="99" spans="1:6" s="75" customFormat="1" ht="16" thickBot="1" x14ac:dyDescent="0.3">
      <c r="A99" s="89">
        <v>7</v>
      </c>
      <c r="F99" s="90"/>
    </row>
    <row r="100" spans="1:6" s="75" customFormat="1" ht="15.5" thickBot="1" x14ac:dyDescent="0.3">
      <c r="A100" s="91" t="s">
        <v>128</v>
      </c>
      <c r="B100" s="92" t="s">
        <v>150</v>
      </c>
      <c r="C100" s="92" t="s">
        <v>144</v>
      </c>
      <c r="D100" s="92" t="s">
        <v>133</v>
      </c>
      <c r="E100" s="92" t="s">
        <v>134</v>
      </c>
      <c r="F100" s="93" t="s">
        <v>145</v>
      </c>
    </row>
    <row r="101" spans="1:6" s="75" customFormat="1" ht="15.5" thickBot="1" x14ac:dyDescent="0.3">
      <c r="A101" s="94" t="s">
        <v>151</v>
      </c>
      <c r="B101" s="132">
        <f>'övezetek rendelet szeint'!$F$18/365*A99</f>
        <v>1208.2191780821918</v>
      </c>
      <c r="C101" s="132">
        <f>'övezetek rendelet szeint'!$G$18/365*A99</f>
        <v>2029.8082191780823</v>
      </c>
      <c r="D101" s="132">
        <f>'övezetek rendelet szeint'!$H$18/365*A99</f>
        <v>3044.7123287671229</v>
      </c>
      <c r="E101" s="132">
        <f>'övezetek rendelet szeint'!$I$18/365*A99</f>
        <v>5074.5205479452052</v>
      </c>
      <c r="F101" s="132">
        <f>'övezetek rendelet szeint'!$J$18/365*$A99</f>
        <v>9363.698630136987</v>
      </c>
    </row>
    <row r="102" spans="1:6" s="75" customFormat="1" ht="15.5" thickBot="1" x14ac:dyDescent="0.3">
      <c r="A102" s="94" t="s">
        <v>152</v>
      </c>
      <c r="B102" s="132">
        <f>'övezetek rendelet szeint'!$F$19/365*A99</f>
        <v>1208.2191780821918</v>
      </c>
      <c r="C102" s="132">
        <f>'övezetek rendelet szeint'!$G$19/365*A99</f>
        <v>2029.8082191780823</v>
      </c>
      <c r="D102" s="132">
        <f>'övezetek rendelet szeint'!$H$19/365*A99</f>
        <v>3044.7123287671229</v>
      </c>
      <c r="E102" s="132">
        <f>'övezetek rendelet szeint'!$I$19/365*A99</f>
        <v>5074.5205479452052</v>
      </c>
      <c r="F102" s="132">
        <f>'övezetek rendelet szeint'!$J$19/365*$A99</f>
        <v>9363.698630136987</v>
      </c>
    </row>
    <row r="103" spans="1:6" s="75" customFormat="1" ht="15.5" thickBot="1" x14ac:dyDescent="0.3">
      <c r="A103" s="94" t="s">
        <v>153</v>
      </c>
      <c r="B103" s="132">
        <f>'övezetek rendelet szeint'!$F$20/365*A99</f>
        <v>1208.2191780821918</v>
      </c>
      <c r="C103" s="132">
        <f>'övezetek rendelet szeint'!$G$20/365*A99</f>
        <v>2029.8082191780823</v>
      </c>
      <c r="D103" s="132">
        <f>'övezetek rendelet szeint'!$H$20/365*A99</f>
        <v>3044.7123287671229</v>
      </c>
      <c r="E103" s="132">
        <f>'övezetek rendelet szeint'!$I$20/365*A99</f>
        <v>5074.5205479452052</v>
      </c>
      <c r="F103" s="132">
        <f>'övezetek rendelet szeint'!$J$20/365*$A99</f>
        <v>9363.698630136987</v>
      </c>
    </row>
    <row r="104" spans="1:6" s="75" customFormat="1" ht="15.5" thickBot="1" x14ac:dyDescent="0.3">
      <c r="A104" s="94" t="s">
        <v>154</v>
      </c>
      <c r="B104" s="132">
        <f>'övezetek rendelet szeint'!$F$21/365*A99</f>
        <v>1208.2191780821918</v>
      </c>
      <c r="C104" s="132">
        <f>'övezetek rendelet szeint'!$G$21/365*A99</f>
        <v>2029.8082191780823</v>
      </c>
      <c r="D104" s="132">
        <f>'övezetek rendelet szeint'!$H$21/365*A99</f>
        <v>3044.7123287671229</v>
      </c>
      <c r="E104" s="132">
        <f>'övezetek rendelet szeint'!$I$21/365*A99</f>
        <v>5074.5205479452052</v>
      </c>
      <c r="F104" s="132">
        <f>'övezetek rendelet szeint'!$J$21/365*$A99</f>
        <v>9363.698630136987</v>
      </c>
    </row>
    <row r="105" spans="1:6" s="75" customFormat="1" ht="15.5" thickBot="1" x14ac:dyDescent="0.3">
      <c r="A105" s="94" t="s">
        <v>155</v>
      </c>
      <c r="B105" s="132">
        <f>'övezetek rendelet szeint'!$F$22/365*A99</f>
        <v>1208.2191780821918</v>
      </c>
      <c r="C105" s="132">
        <f>'övezetek rendelet szeint'!$G$22/365*A99</f>
        <v>2029.8082191780823</v>
      </c>
      <c r="D105" s="132">
        <f>'övezetek rendelet szeint'!$H$22/365*A99</f>
        <v>3044.7123287671229</v>
      </c>
      <c r="E105" s="132">
        <f>'övezetek rendelet szeint'!$I$22/365*A99</f>
        <v>5074.5205479452052</v>
      </c>
      <c r="F105" s="132">
        <f>'övezetek rendelet szeint'!$J$22/365*$A99</f>
        <v>9363.698630136987</v>
      </c>
    </row>
    <row r="106" spans="1:6" s="75" customFormat="1" ht="15.5" thickBot="1" x14ac:dyDescent="0.3">
      <c r="A106" s="94" t="s">
        <v>139</v>
      </c>
      <c r="B106" s="132">
        <f>'övezetek rendelet szeint'!$F$23/365*A99</f>
        <v>1208.2191780821918</v>
      </c>
      <c r="C106" s="132">
        <f>'övezetek rendelet szeint'!$G$23/365*A99</f>
        <v>2029.8082191780823</v>
      </c>
      <c r="D106" s="132">
        <f>'övezetek rendelet szeint'!$H$23/365*A99</f>
        <v>3044.7123287671229</v>
      </c>
      <c r="E106" s="132">
        <f>'övezetek rendelet szeint'!$I$23/365*A99</f>
        <v>5074.5205479452052</v>
      </c>
      <c r="F106" s="132">
        <f>'övezetek rendelet szeint'!$J$23/365*$A99</f>
        <v>9363.698630136987</v>
      </c>
    </row>
    <row r="107" spans="1:6" s="75" customFormat="1" ht="15.5" thickBot="1" x14ac:dyDescent="0.3">
      <c r="A107" s="94" t="s">
        <v>156</v>
      </c>
      <c r="B107" s="132">
        <f>'övezetek rendelet szeint'!$F$24/365*A99</f>
        <v>1208.2191780821918</v>
      </c>
      <c r="C107" s="132">
        <f>'övezetek rendelet szeint'!$G$24/365*A99</f>
        <v>2029.8082191780823</v>
      </c>
      <c r="D107" s="132">
        <f>'övezetek rendelet szeint'!$H$24/365*A99</f>
        <v>3044.7123287671229</v>
      </c>
      <c r="E107" s="132">
        <f>'övezetek rendelet szeint'!$I$24/365*A99</f>
        <v>5074.5205479452052</v>
      </c>
      <c r="F107" s="132">
        <f>'övezetek rendelet szeint'!$J$24/365*$A99</f>
        <v>9363.698630136987</v>
      </c>
    </row>
    <row r="108" spans="1:6" s="75" customFormat="1" ht="16" thickBot="1" x14ac:dyDescent="0.3">
      <c r="A108" s="97"/>
      <c r="F108" s="90"/>
    </row>
    <row r="109" spans="1:6" s="75" customFormat="1" ht="16" thickBot="1" x14ac:dyDescent="0.3">
      <c r="A109" s="89">
        <v>15</v>
      </c>
      <c r="F109" s="90"/>
    </row>
    <row r="110" spans="1:6" s="75" customFormat="1" ht="15.5" thickBot="1" x14ac:dyDescent="0.3">
      <c r="A110" s="91" t="s">
        <v>128</v>
      </c>
      <c r="B110" s="92" t="s">
        <v>150</v>
      </c>
      <c r="C110" s="92" t="s">
        <v>144</v>
      </c>
      <c r="D110" s="92" t="s">
        <v>133</v>
      </c>
      <c r="E110" s="92" t="s">
        <v>134</v>
      </c>
      <c r="F110" s="93" t="s">
        <v>145</v>
      </c>
    </row>
    <row r="111" spans="1:6" s="75" customFormat="1" ht="15.5" thickBot="1" x14ac:dyDescent="0.3">
      <c r="A111" s="94" t="s">
        <v>151</v>
      </c>
      <c r="B111" s="132">
        <f>'övezetek rendelet szeint'!$F$18/365*A109</f>
        <v>2589.0410958904113</v>
      </c>
      <c r="C111" s="132">
        <f>'övezetek rendelet szeint'!$G$18/365*A109</f>
        <v>4349.58904109589</v>
      </c>
      <c r="D111" s="132">
        <f>'övezetek rendelet szeint'!$H$18/365*A109</f>
        <v>6524.3835616438355</v>
      </c>
      <c r="E111" s="132">
        <f>'övezetek rendelet szeint'!$I$18/365*A109</f>
        <v>10873.972602739726</v>
      </c>
      <c r="F111" s="132">
        <f>'övezetek rendelet szeint'!$J$18/365*$A109</f>
        <v>20065.068493150684</v>
      </c>
    </row>
    <row r="112" spans="1:6" s="75" customFormat="1" ht="15.5" thickBot="1" x14ac:dyDescent="0.3">
      <c r="A112" s="94" t="s">
        <v>152</v>
      </c>
      <c r="B112" s="132">
        <f>'övezetek rendelet szeint'!$F$19/365*A109</f>
        <v>2589.0410958904113</v>
      </c>
      <c r="C112" s="132">
        <f>'övezetek rendelet szeint'!$G$19/365*A109</f>
        <v>4349.58904109589</v>
      </c>
      <c r="D112" s="132">
        <f>'övezetek rendelet szeint'!$H$19/365*A109</f>
        <v>6524.3835616438355</v>
      </c>
      <c r="E112" s="132">
        <f>'övezetek rendelet szeint'!$I$19/365*A109</f>
        <v>10873.972602739726</v>
      </c>
      <c r="F112" s="132">
        <f>'övezetek rendelet szeint'!$J$19/365*$A109</f>
        <v>20065.068493150684</v>
      </c>
    </row>
    <row r="113" spans="1:6" s="75" customFormat="1" ht="15.5" thickBot="1" x14ac:dyDescent="0.3">
      <c r="A113" s="94" t="s">
        <v>153</v>
      </c>
      <c r="B113" s="132">
        <f>'övezetek rendelet szeint'!$F$20/365*A109</f>
        <v>2589.0410958904113</v>
      </c>
      <c r="C113" s="132">
        <f>'övezetek rendelet szeint'!$G$20/365*A109</f>
        <v>4349.58904109589</v>
      </c>
      <c r="D113" s="132">
        <f>'övezetek rendelet szeint'!$H$20/365*A109</f>
        <v>6524.3835616438355</v>
      </c>
      <c r="E113" s="132">
        <f>'övezetek rendelet szeint'!$I$20/365*A109</f>
        <v>10873.972602739726</v>
      </c>
      <c r="F113" s="132">
        <f>'övezetek rendelet szeint'!$J$20/365*$A109</f>
        <v>20065.068493150684</v>
      </c>
    </row>
    <row r="114" spans="1:6" s="75" customFormat="1" ht="15.5" thickBot="1" x14ac:dyDescent="0.3">
      <c r="A114" s="94" t="s">
        <v>154</v>
      </c>
      <c r="B114" s="132">
        <f>'övezetek rendelet szeint'!$F$21/365*A109</f>
        <v>2589.0410958904113</v>
      </c>
      <c r="C114" s="132">
        <f>'övezetek rendelet szeint'!$G$21/365*A109</f>
        <v>4349.58904109589</v>
      </c>
      <c r="D114" s="132">
        <f>'övezetek rendelet szeint'!$H$21/365*A109</f>
        <v>6524.3835616438355</v>
      </c>
      <c r="E114" s="132">
        <f>'övezetek rendelet szeint'!$I$21/365*A109</f>
        <v>10873.972602739726</v>
      </c>
      <c r="F114" s="132">
        <f>'övezetek rendelet szeint'!$J$21/365*$A109</f>
        <v>20065.068493150684</v>
      </c>
    </row>
    <row r="115" spans="1:6" s="75" customFormat="1" ht="15.5" thickBot="1" x14ac:dyDescent="0.3">
      <c r="A115" s="94" t="s">
        <v>155</v>
      </c>
      <c r="B115" s="132">
        <f>'övezetek rendelet szeint'!$F$22/365*A109</f>
        <v>2589.0410958904113</v>
      </c>
      <c r="C115" s="132">
        <f>'övezetek rendelet szeint'!$G$22/365*A109</f>
        <v>4349.58904109589</v>
      </c>
      <c r="D115" s="132">
        <f>'övezetek rendelet szeint'!$H$22/365*A109</f>
        <v>6524.3835616438355</v>
      </c>
      <c r="E115" s="132">
        <f>'övezetek rendelet szeint'!$I$22/365*A109</f>
        <v>10873.972602739726</v>
      </c>
      <c r="F115" s="132">
        <f>'övezetek rendelet szeint'!$J$22/365*$A109</f>
        <v>20065.068493150684</v>
      </c>
    </row>
    <row r="116" spans="1:6" s="75" customFormat="1" ht="15.5" thickBot="1" x14ac:dyDescent="0.3">
      <c r="A116" s="94" t="s">
        <v>139</v>
      </c>
      <c r="B116" s="132">
        <f>'övezetek rendelet szeint'!$F$23/365*A109</f>
        <v>2589.0410958904113</v>
      </c>
      <c r="C116" s="132">
        <f>'övezetek rendelet szeint'!$G$23/365*A109</f>
        <v>4349.58904109589</v>
      </c>
      <c r="D116" s="132">
        <f>'övezetek rendelet szeint'!$H$23/365*A109</f>
        <v>6524.3835616438355</v>
      </c>
      <c r="E116" s="132">
        <f>'övezetek rendelet szeint'!$I$23/365*A109</f>
        <v>10873.972602739726</v>
      </c>
      <c r="F116" s="132">
        <f>'övezetek rendelet szeint'!$J$23/365*$A109</f>
        <v>20065.068493150684</v>
      </c>
    </row>
    <row r="117" spans="1:6" s="75" customFormat="1" ht="15.5" thickBot="1" x14ac:dyDescent="0.3">
      <c r="A117" s="94" t="s">
        <v>156</v>
      </c>
      <c r="B117" s="132">
        <f>'övezetek rendelet szeint'!$F$24/365*A109</f>
        <v>2589.0410958904113</v>
      </c>
      <c r="C117" s="132">
        <f>'övezetek rendelet szeint'!$G$24/365*A109</f>
        <v>4349.58904109589</v>
      </c>
      <c r="D117" s="132">
        <f>'övezetek rendelet szeint'!$H$24/365*A109</f>
        <v>6524.3835616438355</v>
      </c>
      <c r="E117" s="132">
        <f>'övezetek rendelet szeint'!$I$24/365*A109</f>
        <v>10873.972602739726</v>
      </c>
      <c r="F117" s="132">
        <f>'övezetek rendelet szeint'!$J$24/365*$A109</f>
        <v>20065.068493150684</v>
      </c>
    </row>
    <row r="118" spans="1:6" s="75" customFormat="1" ht="16" thickBot="1" x14ac:dyDescent="0.3">
      <c r="A118" s="97"/>
      <c r="F118" s="90"/>
    </row>
    <row r="119" spans="1:6" s="75" customFormat="1" ht="16" thickBot="1" x14ac:dyDescent="0.3">
      <c r="A119" s="89">
        <v>30</v>
      </c>
      <c r="F119" s="90"/>
    </row>
    <row r="120" spans="1:6" s="75" customFormat="1" ht="15.5" thickBot="1" x14ac:dyDescent="0.3">
      <c r="A120" s="91" t="s">
        <v>128</v>
      </c>
      <c r="B120" s="92" t="s">
        <v>150</v>
      </c>
      <c r="C120" s="92" t="s">
        <v>144</v>
      </c>
      <c r="D120" s="92" t="s">
        <v>133</v>
      </c>
      <c r="E120" s="92" t="s">
        <v>134</v>
      </c>
      <c r="F120" s="93" t="s">
        <v>145</v>
      </c>
    </row>
    <row r="121" spans="1:6" s="75" customFormat="1" ht="15.5" thickBot="1" x14ac:dyDescent="0.3">
      <c r="A121" s="94" t="s">
        <v>151</v>
      </c>
      <c r="B121" s="132">
        <f>'övezetek rendelet szeint'!$F$18/365*A119</f>
        <v>5178.0821917808225</v>
      </c>
      <c r="C121" s="132">
        <f>'övezetek rendelet szeint'!$G$18/365*A119</f>
        <v>8699.17808219178</v>
      </c>
      <c r="D121" s="132">
        <f>'övezetek rendelet szeint'!$H$18/365*A119</f>
        <v>13048.767123287671</v>
      </c>
      <c r="E121" s="132">
        <f>'övezetek rendelet szeint'!$I$18/365*A119</f>
        <v>21747.945205479453</v>
      </c>
      <c r="F121" s="132">
        <f>'övezetek rendelet szeint'!$J$18/365*$A119</f>
        <v>40130.136986301368</v>
      </c>
    </row>
    <row r="122" spans="1:6" s="75" customFormat="1" ht="15.5" thickBot="1" x14ac:dyDescent="0.3">
      <c r="A122" s="94" t="s">
        <v>152</v>
      </c>
      <c r="B122" s="132">
        <f>'övezetek rendelet szeint'!$F$19/365*A119</f>
        <v>5178.0821917808225</v>
      </c>
      <c r="C122" s="132">
        <f>'övezetek rendelet szeint'!$G$19/365*A119</f>
        <v>8699.17808219178</v>
      </c>
      <c r="D122" s="132">
        <f>'övezetek rendelet szeint'!$H$19/365*A119</f>
        <v>13048.767123287671</v>
      </c>
      <c r="E122" s="132">
        <f>'övezetek rendelet szeint'!$I$19/365*A119</f>
        <v>21747.945205479453</v>
      </c>
      <c r="F122" s="132">
        <f>'övezetek rendelet szeint'!$J$19/365*$A119</f>
        <v>40130.136986301368</v>
      </c>
    </row>
    <row r="123" spans="1:6" s="75" customFormat="1" ht="15.5" thickBot="1" x14ac:dyDescent="0.3">
      <c r="A123" s="94" t="s">
        <v>153</v>
      </c>
      <c r="B123" s="132">
        <f>'övezetek rendelet szeint'!$F$20/365*A119</f>
        <v>5178.0821917808225</v>
      </c>
      <c r="C123" s="132">
        <f>'övezetek rendelet szeint'!$G$20/365*A119</f>
        <v>8699.17808219178</v>
      </c>
      <c r="D123" s="132">
        <f>'övezetek rendelet szeint'!$H$20/365*A119</f>
        <v>13048.767123287671</v>
      </c>
      <c r="E123" s="132">
        <f>'övezetek rendelet szeint'!$I$20/365*A119</f>
        <v>21747.945205479453</v>
      </c>
      <c r="F123" s="132">
        <f>'övezetek rendelet szeint'!$J$20/365*$A119</f>
        <v>40130.136986301368</v>
      </c>
    </row>
    <row r="124" spans="1:6" s="75" customFormat="1" ht="15.5" thickBot="1" x14ac:dyDescent="0.3">
      <c r="A124" s="94" t="s">
        <v>154</v>
      </c>
      <c r="B124" s="132">
        <f>'övezetek rendelet szeint'!$F$21/365*A119</f>
        <v>5178.0821917808225</v>
      </c>
      <c r="C124" s="132">
        <f>'övezetek rendelet szeint'!$G$21/365*A119</f>
        <v>8699.17808219178</v>
      </c>
      <c r="D124" s="132">
        <f>'övezetek rendelet szeint'!$H$21/365*A119</f>
        <v>13048.767123287671</v>
      </c>
      <c r="E124" s="132">
        <f>'övezetek rendelet szeint'!$I$21/365*A119</f>
        <v>21747.945205479453</v>
      </c>
      <c r="F124" s="132">
        <f>'övezetek rendelet szeint'!$J$21/365*$A119</f>
        <v>40130.136986301368</v>
      </c>
    </row>
    <row r="125" spans="1:6" s="75" customFormat="1" ht="15.5" thickBot="1" x14ac:dyDescent="0.3">
      <c r="A125" s="94" t="s">
        <v>155</v>
      </c>
      <c r="B125" s="132">
        <f>'övezetek rendelet szeint'!$F$22/365*A119</f>
        <v>5178.0821917808225</v>
      </c>
      <c r="C125" s="132">
        <f>'övezetek rendelet szeint'!$G$22/365*A119</f>
        <v>8699.17808219178</v>
      </c>
      <c r="D125" s="132">
        <f>'övezetek rendelet szeint'!$H$22/365*A119</f>
        <v>13048.767123287671</v>
      </c>
      <c r="E125" s="132">
        <f>'övezetek rendelet szeint'!$I$22/365*A119</f>
        <v>21747.945205479453</v>
      </c>
      <c r="F125" s="132">
        <f>'övezetek rendelet szeint'!$J$22/365*$A119</f>
        <v>40130.136986301368</v>
      </c>
    </row>
    <row r="126" spans="1:6" s="75" customFormat="1" ht="15.5" thickBot="1" x14ac:dyDescent="0.3">
      <c r="A126" s="94" t="s">
        <v>139</v>
      </c>
      <c r="B126" s="132">
        <f>'övezetek rendelet szeint'!$F$23/365*A119</f>
        <v>5178.0821917808225</v>
      </c>
      <c r="C126" s="132">
        <f>'övezetek rendelet szeint'!$G$23/365*A119</f>
        <v>8699.17808219178</v>
      </c>
      <c r="D126" s="132">
        <f>'övezetek rendelet szeint'!$H$23/365*A119</f>
        <v>13048.767123287671</v>
      </c>
      <c r="E126" s="132">
        <f>'övezetek rendelet szeint'!$I$23/365*A119</f>
        <v>21747.945205479453</v>
      </c>
      <c r="F126" s="132">
        <f>'övezetek rendelet szeint'!$J$23/365*$A119</f>
        <v>40130.136986301368</v>
      </c>
    </row>
    <row r="127" spans="1:6" s="75" customFormat="1" ht="15.5" thickBot="1" x14ac:dyDescent="0.3">
      <c r="A127" s="94" t="s">
        <v>156</v>
      </c>
      <c r="B127" s="132">
        <f>'övezetek rendelet szeint'!$F$24/365*A119</f>
        <v>5178.0821917808225</v>
      </c>
      <c r="C127" s="132">
        <f>'övezetek rendelet szeint'!$G$24/365*A119</f>
        <v>8699.17808219178</v>
      </c>
      <c r="D127" s="132">
        <f>'övezetek rendelet szeint'!$H$24/365*A119</f>
        <v>13048.767123287671</v>
      </c>
      <c r="E127" s="132">
        <f>'övezetek rendelet szeint'!$I$24/365*A119</f>
        <v>21747.945205479453</v>
      </c>
      <c r="F127" s="132">
        <f>'övezetek rendelet szeint'!$J$24/365*$A119</f>
        <v>40130.136986301368</v>
      </c>
    </row>
    <row r="128" spans="1:6" s="75" customFormat="1" ht="16" thickBot="1" x14ac:dyDescent="0.3">
      <c r="A128" s="97"/>
      <c r="F128" s="90"/>
    </row>
    <row r="129" spans="1:6" s="75" customFormat="1" ht="16" thickBot="1" x14ac:dyDescent="0.3">
      <c r="A129" s="89">
        <v>180</v>
      </c>
      <c r="F129" s="90"/>
    </row>
    <row r="130" spans="1:6" s="75" customFormat="1" ht="15.5" thickBot="1" x14ac:dyDescent="0.3">
      <c r="A130" s="91" t="s">
        <v>128</v>
      </c>
      <c r="B130" s="92" t="s">
        <v>150</v>
      </c>
      <c r="C130" s="92" t="s">
        <v>144</v>
      </c>
      <c r="D130" s="92" t="s">
        <v>133</v>
      </c>
      <c r="E130" s="92" t="s">
        <v>134</v>
      </c>
      <c r="F130" s="93" t="s">
        <v>145</v>
      </c>
    </row>
    <row r="131" spans="1:6" s="75" customFormat="1" ht="15.5" thickBot="1" x14ac:dyDescent="0.3">
      <c r="A131" s="94" t="s">
        <v>151</v>
      </c>
      <c r="B131" s="132">
        <f>'övezetek rendelet szeint'!$F$18/365*A129</f>
        <v>31068.493150684935</v>
      </c>
      <c r="C131" s="132">
        <f>'övezetek rendelet szeint'!$G$18/365*A129</f>
        <v>52195.068493150684</v>
      </c>
      <c r="D131" s="132">
        <f>'övezetek rendelet szeint'!$H$18/365*A129</f>
        <v>78292.602739726019</v>
      </c>
      <c r="E131" s="132">
        <f>'övezetek rendelet szeint'!$I$18/365*A129</f>
        <v>130487.6712328767</v>
      </c>
      <c r="F131" s="132">
        <f>'övezetek rendelet szeint'!$J$18/365*$A129</f>
        <v>240780.82191780821</v>
      </c>
    </row>
    <row r="132" spans="1:6" s="75" customFormat="1" ht="15.5" thickBot="1" x14ac:dyDescent="0.3">
      <c r="A132" s="94" t="s">
        <v>152</v>
      </c>
      <c r="B132" s="132">
        <f>'övezetek rendelet szeint'!$F$19/365*A129</f>
        <v>31068.493150684935</v>
      </c>
      <c r="C132" s="132">
        <f>'övezetek rendelet szeint'!$G$19/365*A129</f>
        <v>52195.068493150684</v>
      </c>
      <c r="D132" s="132">
        <f>'övezetek rendelet szeint'!$H$19/365*A129</f>
        <v>78292.602739726019</v>
      </c>
      <c r="E132" s="132">
        <f>'övezetek rendelet szeint'!$I$19/365*A129</f>
        <v>130487.6712328767</v>
      </c>
      <c r="F132" s="132">
        <f>'övezetek rendelet szeint'!$J$19/365*$A129</f>
        <v>240780.82191780821</v>
      </c>
    </row>
    <row r="133" spans="1:6" s="75" customFormat="1" ht="15.5" thickBot="1" x14ac:dyDescent="0.3">
      <c r="A133" s="94" t="s">
        <v>153</v>
      </c>
      <c r="B133" s="132">
        <f>'övezetek rendelet szeint'!$F$20/365*A129</f>
        <v>31068.493150684935</v>
      </c>
      <c r="C133" s="132">
        <f>'övezetek rendelet szeint'!$G$20/365*A129</f>
        <v>52195.068493150684</v>
      </c>
      <c r="D133" s="132">
        <f>'övezetek rendelet szeint'!$H$20/365*A129</f>
        <v>78292.602739726019</v>
      </c>
      <c r="E133" s="132">
        <f>'övezetek rendelet szeint'!$I$20/365*A129</f>
        <v>130487.6712328767</v>
      </c>
      <c r="F133" s="132">
        <f>'övezetek rendelet szeint'!$J$20/365*$A129</f>
        <v>240780.82191780821</v>
      </c>
    </row>
    <row r="134" spans="1:6" s="75" customFormat="1" ht="15.5" thickBot="1" x14ac:dyDescent="0.3">
      <c r="A134" s="94" t="s">
        <v>154</v>
      </c>
      <c r="B134" s="132">
        <f>'övezetek rendelet szeint'!$F$21/365*A129</f>
        <v>31068.493150684935</v>
      </c>
      <c r="C134" s="132">
        <f>'övezetek rendelet szeint'!$G$21/365*A129</f>
        <v>52195.068493150684</v>
      </c>
      <c r="D134" s="132">
        <f>'övezetek rendelet szeint'!$H$21/365*A129</f>
        <v>78292.602739726019</v>
      </c>
      <c r="E134" s="132">
        <f>'övezetek rendelet szeint'!$I$21/365*A129</f>
        <v>130487.6712328767</v>
      </c>
      <c r="F134" s="132">
        <f>'övezetek rendelet szeint'!$J$21/365*$A129</f>
        <v>240780.82191780821</v>
      </c>
    </row>
    <row r="135" spans="1:6" s="75" customFormat="1" ht="15.5" thickBot="1" x14ac:dyDescent="0.3">
      <c r="A135" s="94" t="s">
        <v>155</v>
      </c>
      <c r="B135" s="132">
        <f>'övezetek rendelet szeint'!$F$22/365*A129</f>
        <v>31068.493150684935</v>
      </c>
      <c r="C135" s="132">
        <f>'övezetek rendelet szeint'!$G$22/365*A129</f>
        <v>52195.068493150684</v>
      </c>
      <c r="D135" s="132">
        <f>'övezetek rendelet szeint'!$H$22/365*A129</f>
        <v>78292.602739726019</v>
      </c>
      <c r="E135" s="132">
        <f>'övezetek rendelet szeint'!$I$22/365*A129</f>
        <v>130487.6712328767</v>
      </c>
      <c r="F135" s="132">
        <f>'övezetek rendelet szeint'!$J$22/365*$A129</f>
        <v>240780.82191780821</v>
      </c>
    </row>
    <row r="136" spans="1:6" s="75" customFormat="1" ht="15.5" thickBot="1" x14ac:dyDescent="0.3">
      <c r="A136" s="94" t="s">
        <v>139</v>
      </c>
      <c r="B136" s="132">
        <f>'övezetek rendelet szeint'!$F$23/365*A129</f>
        <v>31068.493150684935</v>
      </c>
      <c r="C136" s="132">
        <f>'övezetek rendelet szeint'!$G$23/365*A129</f>
        <v>52195.068493150684</v>
      </c>
      <c r="D136" s="132">
        <f>'övezetek rendelet szeint'!$H$23/365*A129</f>
        <v>78292.602739726019</v>
      </c>
      <c r="E136" s="132">
        <f>'övezetek rendelet szeint'!$I$23/365*A129</f>
        <v>130487.6712328767</v>
      </c>
      <c r="F136" s="132">
        <f>'övezetek rendelet szeint'!$J$23/365*$A129</f>
        <v>240780.82191780821</v>
      </c>
    </row>
    <row r="137" spans="1:6" s="75" customFormat="1" ht="15.5" thickBot="1" x14ac:dyDescent="0.3">
      <c r="A137" s="94" t="s">
        <v>156</v>
      </c>
      <c r="B137" s="132">
        <f>'övezetek rendelet szeint'!$F$24/365*A129</f>
        <v>31068.493150684935</v>
      </c>
      <c r="C137" s="132">
        <f>'övezetek rendelet szeint'!$G$24/365*A129</f>
        <v>52195.068493150684</v>
      </c>
      <c r="D137" s="132">
        <f>'övezetek rendelet szeint'!$H$24/365*A129</f>
        <v>78292.602739726019</v>
      </c>
      <c r="E137" s="132">
        <f>'övezetek rendelet szeint'!$I$24/365*A129</f>
        <v>130487.6712328767</v>
      </c>
      <c r="F137" s="132">
        <f>'övezetek rendelet szeint'!$J$24/365*$A129</f>
        <v>240780.82191780821</v>
      </c>
    </row>
    <row r="138" spans="1:6" s="75" customFormat="1" ht="16" thickBot="1" x14ac:dyDescent="0.3">
      <c r="A138" s="97"/>
      <c r="F138" s="90"/>
    </row>
    <row r="139" spans="1:6" s="75" customFormat="1" ht="16" thickBot="1" x14ac:dyDescent="0.3">
      <c r="A139" s="89">
        <v>360</v>
      </c>
      <c r="F139" s="90"/>
    </row>
    <row r="140" spans="1:6" s="75" customFormat="1" ht="15.5" thickBot="1" x14ac:dyDescent="0.3">
      <c r="A140" s="91" t="s">
        <v>128</v>
      </c>
      <c r="B140" s="92" t="s">
        <v>150</v>
      </c>
      <c r="C140" s="92" t="s">
        <v>144</v>
      </c>
      <c r="D140" s="92" t="s">
        <v>133</v>
      </c>
      <c r="E140" s="92" t="s">
        <v>134</v>
      </c>
      <c r="F140" s="93" t="s">
        <v>145</v>
      </c>
    </row>
    <row r="141" spans="1:6" s="75" customFormat="1" ht="15.5" thickBot="1" x14ac:dyDescent="0.3">
      <c r="A141" s="94" t="s">
        <v>151</v>
      </c>
      <c r="B141" s="132">
        <f>'övezetek rendelet szeint'!$F$18/365*A139</f>
        <v>62136.98630136987</v>
      </c>
      <c r="C141" s="132">
        <f>'övezetek rendelet szeint'!$G$18/365*A139</f>
        <v>104390.13698630137</v>
      </c>
      <c r="D141" s="132">
        <f>'övezetek rendelet szeint'!$H$18/365*A139</f>
        <v>156585.20547945204</v>
      </c>
      <c r="E141" s="132">
        <f>'övezetek rendelet szeint'!$I$18/365*A139</f>
        <v>260975.34246575341</v>
      </c>
      <c r="F141" s="132">
        <f>'övezetek rendelet szeint'!$J$18/365*$A139</f>
        <v>481561.64383561641</v>
      </c>
    </row>
    <row r="142" spans="1:6" s="75" customFormat="1" ht="15.5" thickBot="1" x14ac:dyDescent="0.3">
      <c r="A142" s="94" t="s">
        <v>152</v>
      </c>
      <c r="B142" s="132">
        <f>'övezetek rendelet szeint'!$F$19/365*A139</f>
        <v>62136.98630136987</v>
      </c>
      <c r="C142" s="132">
        <f>'övezetek rendelet szeint'!$G$19/365*A139</f>
        <v>104390.13698630137</v>
      </c>
      <c r="D142" s="132">
        <f>'övezetek rendelet szeint'!$H$19/365*A139</f>
        <v>156585.20547945204</v>
      </c>
      <c r="E142" s="132">
        <f>'övezetek rendelet szeint'!$I$19/365*A139</f>
        <v>260975.34246575341</v>
      </c>
      <c r="F142" s="132">
        <f>'övezetek rendelet szeint'!$J$19/365*$A139</f>
        <v>481561.64383561641</v>
      </c>
    </row>
    <row r="143" spans="1:6" s="75" customFormat="1" ht="15.5" thickBot="1" x14ac:dyDescent="0.3">
      <c r="A143" s="94" t="s">
        <v>153</v>
      </c>
      <c r="B143" s="132">
        <f>'övezetek rendelet szeint'!$F$20/365*A139</f>
        <v>62136.98630136987</v>
      </c>
      <c r="C143" s="132">
        <f>'övezetek rendelet szeint'!$G$20/365*A139</f>
        <v>104390.13698630137</v>
      </c>
      <c r="D143" s="132">
        <f>'övezetek rendelet szeint'!$H$20/365*A139</f>
        <v>156585.20547945204</v>
      </c>
      <c r="E143" s="132">
        <f>'övezetek rendelet szeint'!$I$20/365*A139</f>
        <v>260975.34246575341</v>
      </c>
      <c r="F143" s="132">
        <f>'övezetek rendelet szeint'!$J$20/365*$A139</f>
        <v>481561.64383561641</v>
      </c>
    </row>
    <row r="144" spans="1:6" s="75" customFormat="1" ht="15.5" thickBot="1" x14ac:dyDescent="0.3">
      <c r="A144" s="94" t="s">
        <v>154</v>
      </c>
      <c r="B144" s="132">
        <f>'övezetek rendelet szeint'!$F$21/365*A139</f>
        <v>62136.98630136987</v>
      </c>
      <c r="C144" s="132">
        <f>'övezetek rendelet szeint'!$G$21/365*A139</f>
        <v>104390.13698630137</v>
      </c>
      <c r="D144" s="132">
        <f>'övezetek rendelet szeint'!$H$21/365*A139</f>
        <v>156585.20547945204</v>
      </c>
      <c r="E144" s="132">
        <f>'övezetek rendelet szeint'!$I$21/365*A139</f>
        <v>260975.34246575341</v>
      </c>
      <c r="F144" s="132">
        <f>'övezetek rendelet szeint'!$J$21/365*$A139</f>
        <v>481561.64383561641</v>
      </c>
    </row>
    <row r="145" spans="1:6" s="75" customFormat="1" ht="15.5" thickBot="1" x14ac:dyDescent="0.3">
      <c r="A145" s="94" t="s">
        <v>155</v>
      </c>
      <c r="B145" s="132">
        <f>'övezetek rendelet szeint'!$F$22/365*A139</f>
        <v>62136.98630136987</v>
      </c>
      <c r="C145" s="132">
        <f>'övezetek rendelet szeint'!$G$22/365*A139</f>
        <v>104390.13698630137</v>
      </c>
      <c r="D145" s="132">
        <f>'övezetek rendelet szeint'!$H$22/365*A139</f>
        <v>156585.20547945204</v>
      </c>
      <c r="E145" s="132">
        <f>'övezetek rendelet szeint'!$I$22/365*A139</f>
        <v>260975.34246575341</v>
      </c>
      <c r="F145" s="132">
        <f>'övezetek rendelet szeint'!$J$22/365*$A139</f>
        <v>481561.64383561641</v>
      </c>
    </row>
    <row r="146" spans="1:6" s="75" customFormat="1" ht="15.5" thickBot="1" x14ac:dyDescent="0.3">
      <c r="A146" s="94" t="s">
        <v>139</v>
      </c>
      <c r="B146" s="132">
        <f>'övezetek rendelet szeint'!$F$23/365*A139</f>
        <v>62136.98630136987</v>
      </c>
      <c r="C146" s="132">
        <f>'övezetek rendelet szeint'!$G$23/365*A139</f>
        <v>104390.13698630137</v>
      </c>
      <c r="D146" s="132">
        <f>'övezetek rendelet szeint'!$H$23/365*A139</f>
        <v>156585.20547945204</v>
      </c>
      <c r="E146" s="132">
        <f>'övezetek rendelet szeint'!$I$23/365*A139</f>
        <v>260975.34246575341</v>
      </c>
      <c r="F146" s="132">
        <f>'övezetek rendelet szeint'!$J$23/365*$A139</f>
        <v>481561.64383561641</v>
      </c>
    </row>
    <row r="147" spans="1:6" s="75" customFormat="1" ht="15.5" thickBot="1" x14ac:dyDescent="0.3">
      <c r="A147" s="98" t="s">
        <v>156</v>
      </c>
      <c r="B147" s="132">
        <f>'övezetek rendelet szeint'!$F$24/365*A139</f>
        <v>62136.98630136987</v>
      </c>
      <c r="C147" s="132">
        <f>'övezetek rendelet szeint'!$G$24/365*A139</f>
        <v>104390.13698630137</v>
      </c>
      <c r="D147" s="132">
        <f>'övezetek rendelet szeint'!$H$24/365*A139</f>
        <v>156585.20547945204</v>
      </c>
      <c r="E147" s="132">
        <f>'övezetek rendelet szeint'!$I$24/365*A139</f>
        <v>260975.34246575341</v>
      </c>
      <c r="F147" s="132">
        <f>'övezetek rendelet szeint'!$J$24/365*$A139</f>
        <v>481561.64383561641</v>
      </c>
    </row>
    <row r="148" spans="1:6" s="75" customFormat="1" ht="13" thickTop="1" x14ac:dyDescent="0.25"/>
    <row r="149" spans="1:6" s="75" customFormat="1" ht="13" thickBot="1" x14ac:dyDescent="0.3"/>
    <row r="150" spans="1:6" s="75" customFormat="1" ht="16.5" thickTop="1" thickBot="1" x14ac:dyDescent="0.3">
      <c r="A150" s="349" t="s">
        <v>157</v>
      </c>
      <c r="B150" s="350"/>
      <c r="C150" s="350"/>
      <c r="D150" s="350"/>
      <c r="E150" s="350"/>
      <c r="F150" s="351"/>
    </row>
    <row r="151" spans="1:6" s="75" customFormat="1" ht="16" thickBot="1" x14ac:dyDescent="0.3">
      <c r="A151" s="89">
        <v>1</v>
      </c>
      <c r="F151" s="90"/>
    </row>
    <row r="152" spans="1:6" s="75" customFormat="1" ht="15.5" thickBot="1" x14ac:dyDescent="0.3">
      <c r="A152" s="91" t="s">
        <v>128</v>
      </c>
      <c r="B152" s="92" t="s">
        <v>150</v>
      </c>
      <c r="C152" s="92" t="s">
        <v>144</v>
      </c>
      <c r="D152" s="92" t="s">
        <v>133</v>
      </c>
      <c r="E152" s="92" t="s">
        <v>134</v>
      </c>
      <c r="F152" s="93" t="s">
        <v>145</v>
      </c>
    </row>
    <row r="153" spans="1:6" s="75" customFormat="1" ht="15.5" thickBot="1" x14ac:dyDescent="0.3">
      <c r="A153" s="94" t="s">
        <v>158</v>
      </c>
      <c r="B153" s="132">
        <f>'övezetek rendelet szeint'!F28/365*$A$151</f>
        <v>345.20547945205482</v>
      </c>
      <c r="C153" s="132">
        <f>'övezetek rendelet szeint'!G28/365*$A$151</f>
        <v>579.94520547945206</v>
      </c>
      <c r="D153" s="132">
        <f>'övezetek rendelet szeint'!H28/365*$A$151</f>
        <v>869.91780821917803</v>
      </c>
      <c r="E153" s="132">
        <f>'övezetek rendelet szeint'!I28/365*$A$151</f>
        <v>1449.8630136986301</v>
      </c>
      <c r="F153" s="132">
        <f>'övezetek rendelet szeint'!J28/365*$A$151</f>
        <v>2675.3424657534247</v>
      </c>
    </row>
    <row r="154" spans="1:6" s="75" customFormat="1" ht="15.5" thickBot="1" x14ac:dyDescent="0.3">
      <c r="A154" s="94" t="s">
        <v>159</v>
      </c>
      <c r="B154" s="132">
        <f>'övezetek rendelet szeint'!F29/365*$A$151</f>
        <v>455.67123287671234</v>
      </c>
      <c r="C154" s="132">
        <f>'övezetek rendelet szeint'!G29/365*$A$151</f>
        <v>773.2602739726027</v>
      </c>
      <c r="D154" s="132">
        <f>'övezetek rendelet szeint'!H29/365*$A$151</f>
        <v>1159.8904109589041</v>
      </c>
      <c r="E154" s="132">
        <f>'övezetek rendelet szeint'!I29/365*$A$151</f>
        <v>1933.1506849315069</v>
      </c>
      <c r="F154" s="132">
        <f>'övezetek rendelet szeint'!J29/365*$A$151</f>
        <v>3567.1123287671235</v>
      </c>
    </row>
    <row r="155" spans="1:6" s="75" customFormat="1" ht="13" thickBot="1" x14ac:dyDescent="0.3">
      <c r="A155" s="96"/>
      <c r="F155" s="90"/>
    </row>
    <row r="156" spans="1:6" s="75" customFormat="1" ht="16" thickBot="1" x14ac:dyDescent="0.3">
      <c r="A156" s="89">
        <v>7</v>
      </c>
      <c r="F156" s="90"/>
    </row>
    <row r="157" spans="1:6" s="75" customFormat="1" ht="15.5" thickBot="1" x14ac:dyDescent="0.3">
      <c r="A157" s="91" t="s">
        <v>128</v>
      </c>
      <c r="B157" s="92" t="s">
        <v>150</v>
      </c>
      <c r="C157" s="92" t="s">
        <v>144</v>
      </c>
      <c r="D157" s="92" t="s">
        <v>133</v>
      </c>
      <c r="E157" s="92" t="s">
        <v>134</v>
      </c>
      <c r="F157" s="93" t="s">
        <v>145</v>
      </c>
    </row>
    <row r="158" spans="1:6" s="75" customFormat="1" ht="15.5" thickBot="1" x14ac:dyDescent="0.3">
      <c r="A158" s="94" t="s">
        <v>158</v>
      </c>
      <c r="B158" s="132">
        <f>'övezetek rendelet szeint'!F28/365*$A$156</f>
        <v>2416.4383561643835</v>
      </c>
      <c r="C158" s="132">
        <f>'övezetek rendelet szeint'!G28/365*$A$156</f>
        <v>4059.6164383561645</v>
      </c>
      <c r="D158" s="132">
        <f>'övezetek rendelet szeint'!H28/365*$A$156</f>
        <v>6089.4246575342459</v>
      </c>
      <c r="E158" s="132">
        <f>'övezetek rendelet szeint'!I28/365*$A$156</f>
        <v>10149.04109589041</v>
      </c>
      <c r="F158" s="132">
        <f>'övezetek rendelet szeint'!J28/365*$A$156</f>
        <v>18727.397260273974</v>
      </c>
    </row>
    <row r="159" spans="1:6" s="75" customFormat="1" ht="15.5" thickBot="1" x14ac:dyDescent="0.3">
      <c r="A159" s="94" t="s">
        <v>159</v>
      </c>
      <c r="B159" s="132">
        <f>'övezetek rendelet szeint'!F29/365*$A$156</f>
        <v>3189.6986301369861</v>
      </c>
      <c r="C159" s="132">
        <f>'övezetek rendelet szeint'!G29/365*$A$156</f>
        <v>5412.821917808219</v>
      </c>
      <c r="D159" s="132">
        <f>'övezetek rendelet szeint'!H29/365*$A$156</f>
        <v>8119.232876712329</v>
      </c>
      <c r="E159" s="132">
        <f>'övezetek rendelet szeint'!I29/365*$A$156</f>
        <v>13532.054794520549</v>
      </c>
      <c r="F159" s="132">
        <f>'övezetek rendelet szeint'!J29/365*$A$156</f>
        <v>24969.786301369866</v>
      </c>
    </row>
    <row r="160" spans="1:6" s="75" customFormat="1" ht="16" thickBot="1" x14ac:dyDescent="0.3">
      <c r="A160" s="97"/>
      <c r="F160" s="90"/>
    </row>
    <row r="161" spans="1:6" s="75" customFormat="1" ht="16" thickBot="1" x14ac:dyDescent="0.3">
      <c r="A161" s="89">
        <v>15</v>
      </c>
      <c r="F161" s="90"/>
    </row>
    <row r="162" spans="1:6" s="75" customFormat="1" ht="15.5" thickBot="1" x14ac:dyDescent="0.3">
      <c r="A162" s="91" t="s">
        <v>128</v>
      </c>
      <c r="B162" s="92" t="s">
        <v>150</v>
      </c>
      <c r="C162" s="92" t="s">
        <v>144</v>
      </c>
      <c r="D162" s="92" t="s">
        <v>133</v>
      </c>
      <c r="E162" s="92" t="s">
        <v>134</v>
      </c>
      <c r="F162" s="93" t="s">
        <v>145</v>
      </c>
    </row>
    <row r="163" spans="1:6" s="75" customFormat="1" ht="15.5" thickBot="1" x14ac:dyDescent="0.3">
      <c r="A163" s="94" t="s">
        <v>158</v>
      </c>
      <c r="B163" s="132">
        <f>'övezetek rendelet szeint'!F28/365*$A$161</f>
        <v>5178.0821917808225</v>
      </c>
      <c r="C163" s="132">
        <f>'övezetek rendelet szeint'!G28/365*$A$161</f>
        <v>8699.17808219178</v>
      </c>
      <c r="D163" s="132">
        <f>'övezetek rendelet szeint'!H28/365*$A$161</f>
        <v>13048.767123287671</v>
      </c>
      <c r="E163" s="132">
        <f>'övezetek rendelet szeint'!I28/365*$A$161</f>
        <v>21747.945205479453</v>
      </c>
      <c r="F163" s="132">
        <f>'övezetek rendelet szeint'!J28/365*$A$161</f>
        <v>40130.136986301368</v>
      </c>
    </row>
    <row r="164" spans="1:6" s="75" customFormat="1" ht="15.5" thickBot="1" x14ac:dyDescent="0.3">
      <c r="A164" s="94" t="s">
        <v>159</v>
      </c>
      <c r="B164" s="132">
        <f>'övezetek rendelet szeint'!F29/365*$A$161</f>
        <v>6835.0684931506848</v>
      </c>
      <c r="C164" s="132">
        <f>'övezetek rendelet szeint'!G29/365*$A$161</f>
        <v>11598.904109589041</v>
      </c>
      <c r="D164" s="132">
        <f>'övezetek rendelet szeint'!H29/365*$A$161</f>
        <v>17398.35616438356</v>
      </c>
      <c r="E164" s="132">
        <f>'övezetek rendelet szeint'!I29/365*$A$161</f>
        <v>28997.260273972603</v>
      </c>
      <c r="F164" s="132">
        <f>'övezetek rendelet szeint'!J29/365*$A$161</f>
        <v>53506.684931506854</v>
      </c>
    </row>
    <row r="165" spans="1:6" s="75" customFormat="1" ht="16" thickBot="1" x14ac:dyDescent="0.3">
      <c r="A165" s="97"/>
      <c r="F165" s="90"/>
    </row>
    <row r="166" spans="1:6" s="75" customFormat="1" ht="16" thickBot="1" x14ac:dyDescent="0.3">
      <c r="A166" s="89">
        <v>30</v>
      </c>
      <c r="F166" s="90"/>
    </row>
    <row r="167" spans="1:6" s="75" customFormat="1" ht="15.5" thickBot="1" x14ac:dyDescent="0.3">
      <c r="A167" s="91" t="s">
        <v>128</v>
      </c>
      <c r="B167" s="92" t="s">
        <v>150</v>
      </c>
      <c r="C167" s="92" t="s">
        <v>144</v>
      </c>
      <c r="D167" s="92" t="s">
        <v>133</v>
      </c>
      <c r="E167" s="92" t="s">
        <v>134</v>
      </c>
      <c r="F167" s="93" t="s">
        <v>145</v>
      </c>
    </row>
    <row r="168" spans="1:6" s="75" customFormat="1" ht="15.5" thickBot="1" x14ac:dyDescent="0.3">
      <c r="A168" s="94" t="s">
        <v>158</v>
      </c>
      <c r="B168" s="132">
        <f>'övezetek rendelet szeint'!F28/365*$A$166</f>
        <v>10356.164383561645</v>
      </c>
      <c r="C168" s="132">
        <f>'övezetek rendelet szeint'!G28/365*$A$166</f>
        <v>17398.35616438356</v>
      </c>
      <c r="D168" s="132">
        <f>'övezetek rendelet szeint'!H28/365*$A$166</f>
        <v>26097.534246575342</v>
      </c>
      <c r="E168" s="132">
        <f>'övezetek rendelet szeint'!I28/365*$A$166</f>
        <v>43495.890410958906</v>
      </c>
      <c r="F168" s="132">
        <f>'övezetek rendelet szeint'!J28/365*$A$166</f>
        <v>80260.273972602736</v>
      </c>
    </row>
    <row r="169" spans="1:6" s="75" customFormat="1" ht="15.5" thickBot="1" x14ac:dyDescent="0.3">
      <c r="A169" s="94" t="s">
        <v>159</v>
      </c>
      <c r="B169" s="132">
        <f>'övezetek rendelet szeint'!F29/365*$A$166</f>
        <v>13670.13698630137</v>
      </c>
      <c r="C169" s="132">
        <f>'övezetek rendelet szeint'!G29/365*$A$166</f>
        <v>23197.808219178081</v>
      </c>
      <c r="D169" s="132">
        <f>'övezetek rendelet szeint'!H29/365*$A$166</f>
        <v>34796.71232876712</v>
      </c>
      <c r="E169" s="132">
        <f>'övezetek rendelet szeint'!I29/365*$A$166</f>
        <v>57994.520547945205</v>
      </c>
      <c r="F169" s="132">
        <f>'övezetek rendelet szeint'!J29/365*$A$166</f>
        <v>107013.36986301371</v>
      </c>
    </row>
    <row r="170" spans="1:6" s="75" customFormat="1" ht="16" thickBot="1" x14ac:dyDescent="0.3">
      <c r="A170" s="97"/>
      <c r="F170" s="90"/>
    </row>
    <row r="171" spans="1:6" s="75" customFormat="1" ht="16" thickBot="1" x14ac:dyDescent="0.3">
      <c r="A171" s="89">
        <v>180</v>
      </c>
      <c r="F171" s="90"/>
    </row>
    <row r="172" spans="1:6" s="75" customFormat="1" ht="15.5" thickBot="1" x14ac:dyDescent="0.3">
      <c r="A172" s="91" t="s">
        <v>128</v>
      </c>
      <c r="B172" s="92" t="s">
        <v>150</v>
      </c>
      <c r="C172" s="92" t="s">
        <v>144</v>
      </c>
      <c r="D172" s="92" t="s">
        <v>133</v>
      </c>
      <c r="E172" s="92" t="s">
        <v>134</v>
      </c>
      <c r="F172" s="93" t="s">
        <v>145</v>
      </c>
    </row>
    <row r="173" spans="1:6" s="75" customFormat="1" ht="15.5" thickBot="1" x14ac:dyDescent="0.3">
      <c r="A173" s="94" t="s">
        <v>158</v>
      </c>
      <c r="B173" s="132">
        <f>'övezetek rendelet szeint'!F28/365*$A$171</f>
        <v>62136.98630136987</v>
      </c>
      <c r="C173" s="132">
        <f>'övezetek rendelet szeint'!G28/365*$A$171</f>
        <v>104390.13698630137</v>
      </c>
      <c r="D173" s="132">
        <f>'övezetek rendelet szeint'!H28/365*$A$171</f>
        <v>156585.20547945204</v>
      </c>
      <c r="E173" s="132">
        <f>'övezetek rendelet szeint'!I28/365*$A$171</f>
        <v>260975.34246575341</v>
      </c>
      <c r="F173" s="132">
        <f>'övezetek rendelet szeint'!J28/365*$A$171</f>
        <v>481561.64383561641</v>
      </c>
    </row>
    <row r="174" spans="1:6" s="75" customFormat="1" ht="15.5" thickBot="1" x14ac:dyDescent="0.3">
      <c r="A174" s="94" t="s">
        <v>159</v>
      </c>
      <c r="B174" s="132">
        <f>'övezetek rendelet szeint'!F29/365*$A$171</f>
        <v>82020.821917808222</v>
      </c>
      <c r="C174" s="132">
        <f>'övezetek rendelet szeint'!G29/365*$A$171</f>
        <v>139186.84931506848</v>
      </c>
      <c r="D174" s="132">
        <f>'övezetek rendelet szeint'!H29/365*$A$171</f>
        <v>208780.27397260274</v>
      </c>
      <c r="E174" s="132">
        <f>'övezetek rendelet szeint'!I29/365*$A$171</f>
        <v>347967.12328767125</v>
      </c>
      <c r="F174" s="132">
        <f>'övezetek rendelet szeint'!J29/365*$A$171</f>
        <v>642080.21917808219</v>
      </c>
    </row>
    <row r="175" spans="1:6" s="75" customFormat="1" ht="16" thickBot="1" x14ac:dyDescent="0.3">
      <c r="A175" s="97"/>
      <c r="F175" s="90"/>
    </row>
    <row r="176" spans="1:6" s="75" customFormat="1" ht="16" thickBot="1" x14ac:dyDescent="0.3">
      <c r="A176" s="89">
        <v>360</v>
      </c>
      <c r="F176" s="90"/>
    </row>
    <row r="177" spans="1:6" s="75" customFormat="1" ht="15.5" thickBot="1" x14ac:dyDescent="0.3">
      <c r="A177" s="91" t="s">
        <v>128</v>
      </c>
      <c r="B177" s="92" t="s">
        <v>150</v>
      </c>
      <c r="C177" s="92" t="s">
        <v>144</v>
      </c>
      <c r="D177" s="92" t="s">
        <v>133</v>
      </c>
      <c r="E177" s="92" t="s">
        <v>134</v>
      </c>
      <c r="F177" s="93" t="s">
        <v>145</v>
      </c>
    </row>
    <row r="178" spans="1:6" s="75" customFormat="1" ht="15.5" thickBot="1" x14ac:dyDescent="0.3">
      <c r="A178" s="94" t="s">
        <v>158</v>
      </c>
      <c r="B178" s="132">
        <f>'övezetek rendelet szeint'!F28/365*$A$176</f>
        <v>124273.97260273974</v>
      </c>
      <c r="C178" s="132">
        <f>'övezetek rendelet szeint'!G28/365*$A$176</f>
        <v>208780.27397260274</v>
      </c>
      <c r="D178" s="132">
        <f>'övezetek rendelet szeint'!H28/365*$A$176</f>
        <v>313170.41095890407</v>
      </c>
      <c r="E178" s="132">
        <f>'övezetek rendelet szeint'!I28/365*$A$176</f>
        <v>521950.68493150681</v>
      </c>
      <c r="F178" s="132">
        <f>'övezetek rendelet szeint'!J28/365*$A$176</f>
        <v>963123.28767123283</v>
      </c>
    </row>
    <row r="179" spans="1:6" s="75" customFormat="1" ht="15.5" thickBot="1" x14ac:dyDescent="0.3">
      <c r="A179" s="98" t="s">
        <v>159</v>
      </c>
      <c r="B179" s="132">
        <f>'övezetek rendelet szeint'!F29/365*$A$176</f>
        <v>164041.64383561644</v>
      </c>
      <c r="C179" s="132">
        <f>'övezetek rendelet szeint'!G29/365*$A$176</f>
        <v>278373.69863013696</v>
      </c>
      <c r="D179" s="132">
        <f>'övezetek rendelet szeint'!H29/365*$A$176</f>
        <v>417560.54794520547</v>
      </c>
      <c r="E179" s="132">
        <f>'övezetek rendelet szeint'!I29/365*$A$176</f>
        <v>695934.24657534249</v>
      </c>
      <c r="F179" s="132">
        <f>'övezetek rendelet szeint'!J29/365*$A$176</f>
        <v>1284160.4383561644</v>
      </c>
    </row>
    <row r="180" spans="1:6" s="75" customFormat="1" ht="13" thickTop="1" x14ac:dyDescent="0.25"/>
  </sheetData>
  <mergeCells count="6">
    <mergeCell ref="A150:F150"/>
    <mergeCell ref="A1:H1"/>
    <mergeCell ref="A4:H4"/>
    <mergeCell ref="A2:H2"/>
    <mergeCell ref="A3:H3"/>
    <mergeCell ref="A88:F88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59" fitToHeight="9" orientation="portrait" horizontalDpi="4294967293" r:id="rId1"/>
  <rowBreaks count="3" manualBreakCount="3">
    <brk id="47" max="16383" man="1"/>
    <brk id="86" max="16383" man="1"/>
    <brk id="14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7"/>
  <dimension ref="A1:J13"/>
  <sheetViews>
    <sheetView workbookViewId="0">
      <selection activeCell="I2" sqref="I2:I5"/>
    </sheetView>
  </sheetViews>
  <sheetFormatPr defaultRowHeight="12.5" x14ac:dyDescent="0.25"/>
  <cols>
    <col min="1" max="1" width="11.453125" bestFit="1" customWidth="1"/>
    <col min="2" max="2" width="17.7265625" bestFit="1" customWidth="1"/>
    <col min="3" max="3" width="17.26953125" bestFit="1" customWidth="1"/>
  </cols>
  <sheetData>
    <row r="1" spans="1:10" ht="13" thickBot="1" x14ac:dyDescent="0.3">
      <c r="A1" s="110"/>
      <c r="B1" s="113" t="s">
        <v>6</v>
      </c>
      <c r="C1" s="114">
        <v>3.5</v>
      </c>
      <c r="D1" s="114">
        <v>6</v>
      </c>
      <c r="E1" s="114">
        <v>12</v>
      </c>
      <c r="F1" s="114">
        <v>16</v>
      </c>
      <c r="G1" s="114">
        <v>24</v>
      </c>
      <c r="H1" s="114">
        <v>32</v>
      </c>
      <c r="I1" s="114">
        <v>40</v>
      </c>
      <c r="J1" s="115" t="s">
        <v>39</v>
      </c>
    </row>
    <row r="2" spans="1:10" ht="13" thickBot="1" x14ac:dyDescent="0.3">
      <c r="A2" s="111">
        <v>1</v>
      </c>
      <c r="B2" s="117">
        <v>1.5</v>
      </c>
      <c r="C2" s="117">
        <v>1.5</v>
      </c>
      <c r="D2" s="117">
        <v>3</v>
      </c>
      <c r="E2" s="117">
        <v>3</v>
      </c>
      <c r="F2" s="117">
        <v>4.5</v>
      </c>
      <c r="G2" s="117">
        <v>4.5</v>
      </c>
      <c r="H2" s="117">
        <v>4.5</v>
      </c>
      <c r="I2" s="117">
        <v>9</v>
      </c>
      <c r="J2" s="118">
        <v>1.5</v>
      </c>
    </row>
    <row r="3" spans="1:10" ht="13" thickBot="1" x14ac:dyDescent="0.3">
      <c r="A3" s="111">
        <v>2</v>
      </c>
      <c r="B3" s="117">
        <v>1.25</v>
      </c>
      <c r="C3" s="117">
        <v>1.25</v>
      </c>
      <c r="D3" s="117">
        <v>2.5</v>
      </c>
      <c r="E3" s="117">
        <v>2.5</v>
      </c>
      <c r="F3" s="117">
        <v>3.75</v>
      </c>
      <c r="G3" s="117">
        <v>3.75</v>
      </c>
      <c r="H3" s="117">
        <v>3.75</v>
      </c>
      <c r="I3" s="117">
        <v>7.5</v>
      </c>
      <c r="J3" s="118">
        <v>1.25</v>
      </c>
    </row>
    <row r="4" spans="1:10" ht="13" thickBot="1" x14ac:dyDescent="0.3">
      <c r="A4" s="111">
        <v>3</v>
      </c>
      <c r="B4" s="117">
        <v>1.25</v>
      </c>
      <c r="C4" s="117">
        <v>1.25</v>
      </c>
      <c r="D4" s="117">
        <v>2.5</v>
      </c>
      <c r="E4" s="117">
        <v>2.5</v>
      </c>
      <c r="F4" s="117">
        <v>3.75</v>
      </c>
      <c r="G4" s="117">
        <v>3.75</v>
      </c>
      <c r="H4" s="117">
        <v>3.75</v>
      </c>
      <c r="I4" s="117">
        <v>7.5</v>
      </c>
      <c r="J4" s="118">
        <v>1.25</v>
      </c>
    </row>
    <row r="5" spans="1:10" ht="13" thickBot="1" x14ac:dyDescent="0.3">
      <c r="A5" s="112">
        <v>4</v>
      </c>
      <c r="B5" s="117">
        <v>1</v>
      </c>
      <c r="C5" s="117">
        <v>1</v>
      </c>
      <c r="D5" s="117">
        <v>2</v>
      </c>
      <c r="E5" s="117">
        <v>2</v>
      </c>
      <c r="F5" s="117">
        <v>3</v>
      </c>
      <c r="G5" s="117">
        <v>3</v>
      </c>
      <c r="H5" s="117">
        <v>3</v>
      </c>
      <c r="I5" s="117">
        <v>6</v>
      </c>
      <c r="J5" s="118">
        <v>1</v>
      </c>
    </row>
    <row r="6" spans="1:10" x14ac:dyDescent="0.25">
      <c r="C6" s="109"/>
    </row>
    <row r="7" spans="1:10" x14ac:dyDescent="0.25">
      <c r="C7" s="109"/>
    </row>
    <row r="8" spans="1:10" x14ac:dyDescent="0.25">
      <c r="A8" s="109" t="s">
        <v>160</v>
      </c>
      <c r="B8" s="109">
        <v>250</v>
      </c>
      <c r="C8" s="109"/>
    </row>
    <row r="9" spans="1:10" x14ac:dyDescent="0.25">
      <c r="A9" s="109" t="s">
        <v>161</v>
      </c>
      <c r="B9" s="109">
        <v>1500</v>
      </c>
      <c r="C9" s="109"/>
    </row>
    <row r="10" spans="1:10" x14ac:dyDescent="0.25">
      <c r="A10" s="109" t="s">
        <v>162</v>
      </c>
      <c r="B10" s="109">
        <v>480</v>
      </c>
    </row>
    <row r="11" spans="1:10" x14ac:dyDescent="0.25">
      <c r="A11" s="109" t="s">
        <v>163</v>
      </c>
      <c r="B11" s="109">
        <v>576</v>
      </c>
    </row>
    <row r="12" spans="1:10" x14ac:dyDescent="0.25">
      <c r="A12" s="109" t="s">
        <v>164</v>
      </c>
      <c r="B12" s="109">
        <v>3650</v>
      </c>
    </row>
    <row r="13" spans="1:10" x14ac:dyDescent="0.25">
      <c r="A13" s="109" t="s">
        <v>165</v>
      </c>
      <c r="B13" s="109">
        <v>750</v>
      </c>
    </row>
  </sheetData>
  <phoneticPr fontId="26" type="noConversion"/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8"/>
  <dimension ref="A4:K29"/>
  <sheetViews>
    <sheetView workbookViewId="0">
      <selection activeCell="E4" sqref="E4"/>
    </sheetView>
  </sheetViews>
  <sheetFormatPr defaultRowHeight="12.5" x14ac:dyDescent="0.25"/>
  <cols>
    <col min="1" max="1" width="16.7265625" customWidth="1"/>
    <col min="2" max="2" width="14.26953125" bestFit="1" customWidth="1"/>
    <col min="3" max="3" width="16.54296875" customWidth="1"/>
    <col min="4" max="4" width="16" customWidth="1"/>
    <col min="5" max="5" width="18" customWidth="1"/>
    <col min="6" max="6" width="15.7265625" customWidth="1"/>
    <col min="7" max="7" width="16.7265625" customWidth="1"/>
    <col min="8" max="9" width="15.7265625" bestFit="1" customWidth="1"/>
    <col min="10" max="10" width="18.1796875" bestFit="1" customWidth="1"/>
  </cols>
  <sheetData>
    <row r="4" spans="1:11" ht="13.5" thickBot="1" x14ac:dyDescent="0.3">
      <c r="K4" s="128" t="s">
        <v>3</v>
      </c>
    </row>
    <row r="5" spans="1:11" ht="30.5" thickBot="1" x14ac:dyDescent="0.3">
      <c r="A5" s="100" t="s">
        <v>166</v>
      </c>
      <c r="B5" s="92" t="s">
        <v>167</v>
      </c>
      <c r="C5" s="92" t="s">
        <v>168</v>
      </c>
      <c r="D5" s="92" t="s">
        <v>169</v>
      </c>
      <c r="E5" s="92" t="s">
        <v>170</v>
      </c>
      <c r="F5" s="92" t="s">
        <v>171</v>
      </c>
      <c r="G5" s="92" t="s">
        <v>172</v>
      </c>
      <c r="H5" s="92" t="s">
        <v>173</v>
      </c>
      <c r="I5" s="92" t="s">
        <v>174</v>
      </c>
      <c r="J5" s="101" t="s">
        <v>175</v>
      </c>
      <c r="K5" s="129">
        <v>1.25</v>
      </c>
    </row>
    <row r="6" spans="1:11" ht="15.5" thickBot="1" x14ac:dyDescent="0.3">
      <c r="A6" s="102" t="s">
        <v>136</v>
      </c>
      <c r="B6" s="95">
        <v>63000</v>
      </c>
      <c r="C6" s="95">
        <v>66150</v>
      </c>
      <c r="D6" s="95">
        <v>105840</v>
      </c>
      <c r="E6" s="95">
        <v>105840</v>
      </c>
      <c r="F6" s="95">
        <v>158760</v>
      </c>
      <c r="G6" s="95">
        <v>158760</v>
      </c>
      <c r="H6" s="95">
        <v>264600</v>
      </c>
      <c r="I6" s="95">
        <v>488250</v>
      </c>
      <c r="J6" s="99">
        <v>793800</v>
      </c>
    </row>
    <row r="7" spans="1:11" ht="15.5" thickBot="1" x14ac:dyDescent="0.3">
      <c r="A7" s="102" t="s">
        <v>137</v>
      </c>
      <c r="B7" s="95">
        <v>63000</v>
      </c>
      <c r="C7" s="95">
        <v>66150</v>
      </c>
      <c r="D7" s="95">
        <v>105840</v>
      </c>
      <c r="E7" s="95">
        <v>105840</v>
      </c>
      <c r="F7" s="95">
        <v>158760</v>
      </c>
      <c r="G7" s="95">
        <v>158760</v>
      </c>
      <c r="H7" s="95">
        <v>264600</v>
      </c>
      <c r="I7" s="95">
        <v>488250</v>
      </c>
      <c r="J7" s="99">
        <v>793800</v>
      </c>
    </row>
    <row r="8" spans="1:11" ht="15.5" thickBot="1" x14ac:dyDescent="0.3">
      <c r="A8" s="102" t="s">
        <v>138</v>
      </c>
      <c r="B8" s="95">
        <v>63000</v>
      </c>
      <c r="C8" s="95">
        <v>66150</v>
      </c>
      <c r="D8" s="95">
        <v>105840</v>
      </c>
      <c r="E8" s="95">
        <v>105840</v>
      </c>
      <c r="F8" s="95">
        <v>158760</v>
      </c>
      <c r="G8" s="95">
        <v>158760</v>
      </c>
      <c r="H8" s="95">
        <v>264600</v>
      </c>
      <c r="I8" s="95">
        <v>488250</v>
      </c>
      <c r="J8" s="99">
        <v>793800</v>
      </c>
    </row>
    <row r="9" spans="1:11" ht="15.5" thickBot="1" x14ac:dyDescent="0.3">
      <c r="A9" s="102" t="s">
        <v>139</v>
      </c>
      <c r="B9" s="95">
        <v>63000</v>
      </c>
      <c r="C9" s="95">
        <v>66150</v>
      </c>
      <c r="D9" s="95">
        <v>105840</v>
      </c>
      <c r="E9" s="95">
        <v>105840</v>
      </c>
      <c r="F9" s="95">
        <v>158760</v>
      </c>
      <c r="G9" s="95">
        <v>158760</v>
      </c>
      <c r="H9" s="95">
        <v>264600</v>
      </c>
      <c r="I9" s="95">
        <v>488250</v>
      </c>
      <c r="J9" s="99">
        <v>793800</v>
      </c>
    </row>
    <row r="10" spans="1:11" ht="13" thickBot="1" x14ac:dyDescent="0.3"/>
    <row r="11" spans="1:11" ht="30.5" thickBot="1" x14ac:dyDescent="0.3">
      <c r="A11" s="100" t="s">
        <v>176</v>
      </c>
      <c r="D11" s="92" t="s">
        <v>177</v>
      </c>
      <c r="E11" s="92" t="s">
        <v>178</v>
      </c>
      <c r="F11" s="92" t="s">
        <v>171</v>
      </c>
      <c r="G11" s="92" t="s">
        <v>172</v>
      </c>
      <c r="H11" s="92" t="s">
        <v>173</v>
      </c>
      <c r="I11" s="92" t="s">
        <v>174</v>
      </c>
      <c r="J11" s="101" t="s">
        <v>175</v>
      </c>
    </row>
    <row r="12" spans="1:11" ht="15.5" thickBot="1" x14ac:dyDescent="0.3">
      <c r="A12" s="102" t="s">
        <v>146</v>
      </c>
      <c r="D12" s="95">
        <v>63000</v>
      </c>
      <c r="E12" s="95">
        <v>92610</v>
      </c>
      <c r="F12" s="95">
        <v>119070</v>
      </c>
      <c r="G12" s="95">
        <v>119070</v>
      </c>
      <c r="H12" s="95">
        <v>198450</v>
      </c>
      <c r="I12" s="95">
        <v>396900</v>
      </c>
      <c r="J12" s="95">
        <v>661500</v>
      </c>
    </row>
    <row r="13" spans="1:11" ht="15.5" thickBot="1" x14ac:dyDescent="0.3">
      <c r="A13" s="102" t="s">
        <v>147</v>
      </c>
      <c r="D13" s="95">
        <v>63000</v>
      </c>
      <c r="E13" s="95">
        <v>92610</v>
      </c>
      <c r="F13" s="95">
        <v>119070</v>
      </c>
      <c r="G13" s="95">
        <v>119070</v>
      </c>
      <c r="H13" s="95">
        <v>198450</v>
      </c>
      <c r="I13" s="95">
        <v>396900</v>
      </c>
      <c r="J13" s="95">
        <v>661500</v>
      </c>
    </row>
    <row r="14" spans="1:11" ht="15.5" thickBot="1" x14ac:dyDescent="0.3">
      <c r="A14" s="102" t="s">
        <v>148</v>
      </c>
      <c r="D14" s="95">
        <v>63000</v>
      </c>
      <c r="E14" s="95">
        <v>92610</v>
      </c>
      <c r="F14" s="95">
        <v>119070</v>
      </c>
      <c r="G14" s="95">
        <v>119070</v>
      </c>
      <c r="H14" s="95">
        <v>198450</v>
      </c>
      <c r="I14" s="95">
        <v>396900</v>
      </c>
      <c r="J14" s="95">
        <v>661500</v>
      </c>
    </row>
    <row r="15" spans="1:11" ht="15" x14ac:dyDescent="0.25">
      <c r="G15" s="130"/>
    </row>
    <row r="16" spans="1:11" ht="13" thickBot="1" x14ac:dyDescent="0.3"/>
    <row r="17" spans="1:10" ht="30.5" thickBot="1" x14ac:dyDescent="0.3">
      <c r="A17" s="91" t="s">
        <v>179</v>
      </c>
      <c r="F17" s="92" t="s">
        <v>171</v>
      </c>
      <c r="G17" s="92" t="s">
        <v>172</v>
      </c>
      <c r="H17" s="92" t="s">
        <v>173</v>
      </c>
      <c r="I17" s="92" t="s">
        <v>174</v>
      </c>
      <c r="J17" s="101" t="s">
        <v>175</v>
      </c>
    </row>
    <row r="18" spans="1:10" ht="15.5" thickBot="1" x14ac:dyDescent="0.3">
      <c r="A18" s="94" t="s">
        <v>151</v>
      </c>
      <c r="F18" s="95">
        <v>63000</v>
      </c>
      <c r="G18" s="95">
        <v>105840</v>
      </c>
      <c r="H18" s="95">
        <v>158760</v>
      </c>
      <c r="I18" s="95">
        <v>264600</v>
      </c>
      <c r="J18" s="95">
        <v>488250</v>
      </c>
    </row>
    <row r="19" spans="1:10" ht="15.5" thickBot="1" x14ac:dyDescent="0.3">
      <c r="A19" s="94" t="s">
        <v>152</v>
      </c>
      <c r="F19" s="95">
        <v>63000</v>
      </c>
      <c r="G19" s="95">
        <v>105840</v>
      </c>
      <c r="H19" s="95">
        <v>158760</v>
      </c>
      <c r="I19" s="95">
        <v>264600</v>
      </c>
      <c r="J19" s="95">
        <v>488250</v>
      </c>
    </row>
    <row r="20" spans="1:10" ht="15.5" thickBot="1" x14ac:dyDescent="0.3">
      <c r="A20" s="94" t="s">
        <v>153</v>
      </c>
      <c r="F20" s="95">
        <v>63000</v>
      </c>
      <c r="G20" s="95">
        <v>105840</v>
      </c>
      <c r="H20" s="95">
        <v>158760</v>
      </c>
      <c r="I20" s="95">
        <v>264600</v>
      </c>
      <c r="J20" s="95">
        <v>488250</v>
      </c>
    </row>
    <row r="21" spans="1:10" ht="15.5" thickBot="1" x14ac:dyDescent="0.3">
      <c r="A21" s="94" t="s">
        <v>154</v>
      </c>
      <c r="F21" s="95">
        <v>63000</v>
      </c>
      <c r="G21" s="95">
        <v>105840</v>
      </c>
      <c r="H21" s="95">
        <v>158760</v>
      </c>
      <c r="I21" s="95">
        <v>264600</v>
      </c>
      <c r="J21" s="95">
        <v>488250</v>
      </c>
    </row>
    <row r="22" spans="1:10" ht="15.5" thickBot="1" x14ac:dyDescent="0.3">
      <c r="A22" s="94" t="s">
        <v>155</v>
      </c>
      <c r="F22" s="95">
        <v>63000</v>
      </c>
      <c r="G22" s="95">
        <v>105840</v>
      </c>
      <c r="H22" s="95">
        <v>158760</v>
      </c>
      <c r="I22" s="95">
        <v>264600</v>
      </c>
      <c r="J22" s="95">
        <v>488250</v>
      </c>
    </row>
    <row r="23" spans="1:10" ht="15.5" thickBot="1" x14ac:dyDescent="0.3">
      <c r="A23" s="94" t="s">
        <v>139</v>
      </c>
      <c r="F23" s="95">
        <v>63000</v>
      </c>
      <c r="G23" s="95">
        <v>105840</v>
      </c>
      <c r="H23" s="95">
        <v>158760</v>
      </c>
      <c r="I23" s="95">
        <v>264600</v>
      </c>
      <c r="J23" s="95">
        <v>488250</v>
      </c>
    </row>
    <row r="24" spans="1:10" ht="15.5" thickBot="1" x14ac:dyDescent="0.3">
      <c r="A24" s="94" t="s">
        <v>156</v>
      </c>
      <c r="F24" s="95">
        <v>63000</v>
      </c>
      <c r="G24" s="95">
        <v>105840</v>
      </c>
      <c r="H24" s="95">
        <v>158760</v>
      </c>
      <c r="I24" s="95">
        <v>264600</v>
      </c>
      <c r="J24" s="95">
        <v>488250</v>
      </c>
    </row>
    <row r="26" spans="1:10" ht="13" thickBot="1" x14ac:dyDescent="0.3"/>
    <row r="27" spans="1:10" s="75" customFormat="1" ht="30.5" thickBot="1" x14ac:dyDescent="0.3">
      <c r="A27" s="91" t="s">
        <v>180</v>
      </c>
      <c r="F27" s="92" t="s">
        <v>171</v>
      </c>
      <c r="G27" s="92" t="s">
        <v>172</v>
      </c>
      <c r="H27" s="92" t="s">
        <v>173</v>
      </c>
      <c r="I27" s="92" t="s">
        <v>174</v>
      </c>
      <c r="J27" s="101" t="s">
        <v>175</v>
      </c>
    </row>
    <row r="28" spans="1:10" s="75" customFormat="1" ht="15.5" thickBot="1" x14ac:dyDescent="0.3">
      <c r="A28" s="94" t="s">
        <v>158</v>
      </c>
      <c r="F28" s="95">
        <v>126000</v>
      </c>
      <c r="G28" s="95">
        <v>211680</v>
      </c>
      <c r="H28" s="95">
        <v>317520</v>
      </c>
      <c r="I28" s="95">
        <v>529200</v>
      </c>
      <c r="J28" s="95">
        <v>976500</v>
      </c>
    </row>
    <row r="29" spans="1:10" s="75" customFormat="1" ht="15.5" thickBot="1" x14ac:dyDescent="0.3">
      <c r="A29" s="94" t="s">
        <v>159</v>
      </c>
      <c r="F29" s="95">
        <v>166320</v>
      </c>
      <c r="G29" s="95">
        <v>282240</v>
      </c>
      <c r="H29" s="95">
        <v>423360</v>
      </c>
      <c r="I29" s="95">
        <v>705600</v>
      </c>
      <c r="J29" s="95">
        <v>1301996</v>
      </c>
    </row>
  </sheetData>
  <pageMargins left="0.7" right="0.7" top="0.75" bottom="0.75" header="0.3" footer="0.3"/>
  <pageSetup paperSize="9" orientation="portrait" horizont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9"/>
  <dimension ref="A1:M23"/>
  <sheetViews>
    <sheetView workbookViewId="0">
      <selection activeCell="I4" sqref="I4"/>
    </sheetView>
  </sheetViews>
  <sheetFormatPr defaultRowHeight="12.5" x14ac:dyDescent="0.25"/>
  <cols>
    <col min="5" max="5" width="16.81640625" bestFit="1" customWidth="1"/>
    <col min="6" max="6" width="10.26953125" bestFit="1" customWidth="1"/>
    <col min="10" max="10" width="34" bestFit="1" customWidth="1"/>
  </cols>
  <sheetData>
    <row r="1" spans="1:13" x14ac:dyDescent="0.25">
      <c r="A1" s="137">
        <v>3.5</v>
      </c>
      <c r="B1">
        <v>1</v>
      </c>
      <c r="E1" t="s">
        <v>181</v>
      </c>
      <c r="F1" t="s">
        <v>182</v>
      </c>
      <c r="G1" t="s">
        <v>183</v>
      </c>
      <c r="H1" t="s">
        <v>184</v>
      </c>
      <c r="I1" t="s">
        <v>185</v>
      </c>
      <c r="J1" t="s">
        <v>186</v>
      </c>
      <c r="M1">
        <f ca="1">YEAR(TODAY())</f>
        <v>2024</v>
      </c>
    </row>
    <row r="2" spans="1:13" x14ac:dyDescent="0.25">
      <c r="A2" s="137">
        <v>7.5</v>
      </c>
      <c r="B2">
        <v>2</v>
      </c>
      <c r="D2" s="150" t="s">
        <v>187</v>
      </c>
      <c r="E2" s="151">
        <v>-0.5</v>
      </c>
      <c r="F2" s="1">
        <v>0</v>
      </c>
      <c r="G2" s="1">
        <v>0</v>
      </c>
      <c r="H2" s="1">
        <v>0</v>
      </c>
      <c r="I2" s="1">
        <v>0</v>
      </c>
      <c r="J2" s="145" t="s">
        <v>66</v>
      </c>
      <c r="K2" s="1">
        <v>0</v>
      </c>
      <c r="M2">
        <f ca="1">M1-'Össztömeg-korlátozott övezetek'!B12</f>
        <v>11</v>
      </c>
    </row>
    <row r="3" spans="1:13" x14ac:dyDescent="0.25">
      <c r="A3" s="137">
        <v>12</v>
      </c>
      <c r="B3">
        <v>3</v>
      </c>
      <c r="D3" s="150">
        <v>0</v>
      </c>
      <c r="E3" s="151">
        <v>-0.5</v>
      </c>
      <c r="F3" s="1">
        <v>0</v>
      </c>
      <c r="G3" s="1">
        <v>0</v>
      </c>
      <c r="H3" s="1">
        <v>0.2</v>
      </c>
      <c r="I3" s="1">
        <v>0.1</v>
      </c>
      <c r="J3" s="145" t="str">
        <f>IF('Össztömeg-korlátozott övezetek'!B10=12,"legalább 3 szomszédos 12t-ás övezet","nincs")</f>
        <v>legalább 3 szomszédos 12t-ás övezet</v>
      </c>
      <c r="K3" s="1">
        <v>0.1</v>
      </c>
      <c r="M3" s="198">
        <f ca="1">IF(M2&lt;6,20%,IF(M2&lt;11,10%,IF(M2&lt;16,0%,IF(M2&lt;21,-10%,-20%))))</f>
        <v>0</v>
      </c>
    </row>
    <row r="4" spans="1:13" x14ac:dyDescent="0.25">
      <c r="D4" s="150">
        <v>1</v>
      </c>
      <c r="E4" s="151">
        <v>-0.5</v>
      </c>
      <c r="J4" s="145"/>
      <c r="K4" s="1"/>
    </row>
    <row r="5" spans="1:13" x14ac:dyDescent="0.25">
      <c r="D5" s="150">
        <v>2</v>
      </c>
      <c r="E5" s="151">
        <v>-0.5</v>
      </c>
      <c r="J5" s="145"/>
      <c r="K5" s="1"/>
    </row>
    <row r="6" spans="1:13" x14ac:dyDescent="0.25">
      <c r="D6" s="150">
        <v>3</v>
      </c>
      <c r="E6" s="151">
        <v>-0.5</v>
      </c>
    </row>
    <row r="7" spans="1:13" x14ac:dyDescent="0.25">
      <c r="D7" s="150">
        <v>4</v>
      </c>
      <c r="E7" s="151">
        <v>-0.5</v>
      </c>
    </row>
    <row r="8" spans="1:13" x14ac:dyDescent="0.25">
      <c r="D8" s="150">
        <v>5</v>
      </c>
      <c r="E8" s="151">
        <v>0</v>
      </c>
    </row>
    <row r="9" spans="1:13" x14ac:dyDescent="0.25">
      <c r="D9" s="150" t="s">
        <v>84</v>
      </c>
      <c r="E9" s="151">
        <v>0</v>
      </c>
    </row>
    <row r="10" spans="1:13" x14ac:dyDescent="0.25">
      <c r="D10" s="150" t="s">
        <v>86</v>
      </c>
      <c r="E10" s="151">
        <v>0</v>
      </c>
    </row>
    <row r="11" spans="1:13" x14ac:dyDescent="0.25">
      <c r="D11" s="150" t="s">
        <v>88</v>
      </c>
      <c r="E11" s="151">
        <v>0</v>
      </c>
    </row>
    <row r="12" spans="1:13" x14ac:dyDescent="0.25">
      <c r="D12" s="150" t="s">
        <v>89</v>
      </c>
      <c r="E12" s="151">
        <v>0</v>
      </c>
    </row>
    <row r="13" spans="1:13" x14ac:dyDescent="0.25">
      <c r="D13" s="150">
        <v>6</v>
      </c>
      <c r="E13" s="151">
        <v>-0.25</v>
      </c>
    </row>
    <row r="14" spans="1:13" x14ac:dyDescent="0.25">
      <c r="D14" s="150">
        <v>7</v>
      </c>
      <c r="E14" s="151">
        <v>-0.25</v>
      </c>
    </row>
    <row r="15" spans="1:13" x14ac:dyDescent="0.25">
      <c r="D15" s="150">
        <v>8</v>
      </c>
      <c r="E15" s="151">
        <v>-0.25</v>
      </c>
      <c r="F15" s="146"/>
    </row>
    <row r="16" spans="1:13" x14ac:dyDescent="0.25">
      <c r="D16" s="150">
        <v>9</v>
      </c>
      <c r="E16" s="151">
        <v>0</v>
      </c>
    </row>
    <row r="17" spans="4:5" x14ac:dyDescent="0.25">
      <c r="D17" s="150">
        <v>10</v>
      </c>
      <c r="E17" s="151">
        <v>0</v>
      </c>
    </row>
    <row r="18" spans="4:5" x14ac:dyDescent="0.25">
      <c r="D18" s="150">
        <v>11</v>
      </c>
      <c r="E18" s="151">
        <v>0</v>
      </c>
    </row>
    <row r="19" spans="4:5" x14ac:dyDescent="0.25">
      <c r="D19" s="150">
        <v>12</v>
      </c>
      <c r="E19" s="151">
        <v>0</v>
      </c>
    </row>
    <row r="20" spans="4:5" x14ac:dyDescent="0.25">
      <c r="D20" s="150">
        <v>13</v>
      </c>
      <c r="E20" s="151">
        <v>0</v>
      </c>
    </row>
    <row r="21" spans="4:5" x14ac:dyDescent="0.25">
      <c r="D21" s="150">
        <v>14</v>
      </c>
      <c r="E21" s="151">
        <v>0</v>
      </c>
    </row>
    <row r="22" spans="4:5" x14ac:dyDescent="0.25">
      <c r="D22" s="150">
        <v>15</v>
      </c>
      <c r="E22" s="151">
        <v>0</v>
      </c>
    </row>
    <row r="23" spans="4:5" x14ac:dyDescent="0.25">
      <c r="D23" s="150">
        <v>16</v>
      </c>
      <c r="E23" s="151">
        <v>0</v>
      </c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T U 9 5 U k S g B l m l A A A A 9 Q A A A B I A H A B D b 2 5 m a W c v U G F j a 2 F n Z S 5 4 b W w g o h g A K K A U A A A A A A A A A A A A A A A A A A A A A A A A A A A A h Y 8 x D o I w G I W v Q r r T l h o T J D 9 l c H G Q x M R o X E m p 0 A j F 0 N Z y N w e P 5 B X E K O r m + L 7 3 D e / d r z f I h r Y J L r I 3 q t M p i j B F g d S i K 5 W u U u T s M Y x R x m F T i F N R y W C U t U k G U 6 a o t v a c E O K 9 x 3 6 G u 7 4 i j N K I H P L 1 V t S y L d B H V v / l U G l j C y 0 k 4 r B / j e E M L y i e x w x T I B O D X O l v z 8 a 5 z / Y H w t I 1 1 v W S 1 y 5 c 7 Y B M E c j 7 A n 8 A U E s D B B Q A A g A I A E 1 P e V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N T 3 l S K I p H u A 4 A A A A R A A A A E w A c A E Z v c m 1 1 b G F z L 1 N l Y 3 R p b 2 4 x L m 0 g o h g A K K A U A A A A A A A A A A A A A A A A A A A A A A A A A A A A K 0 5 N L s n M z 1 M I h t C G 1 g B Q S w E C L Q A U A A I A C A B N T 3 l S R K A G W a U A A A D 1 A A A A E g A A A A A A A A A A A A A A A A A A A A A A Q 2 9 u Z m l n L 1 B h Y 2 t h Z 2 U u e G 1 s U E s B A i 0 A F A A C A A g A T U 9 5 U g / K 6 a u k A A A A 6 Q A A A B M A A A A A A A A A A A A A A A A A 8 Q A A A F t D b 2 5 0 Z W 5 0 X 1 R 5 c G V z X S 5 4 b W x Q S w E C L Q A U A A I A C A B N T 3 l S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r 5 t d j 6 U 5 v k + 3 2 a j w U j + F n Q A A A A A C A A A A A A A D Z g A A w A A A A B A A A A A m D G p a C 5 f q 6 0 u G Q 7 j 4 U 5 M J A A A A A A S A A A C g A A A A E A A A A D 0 x 2 3 3 6 e 4 + O + / c I o H m S o W B Q A A A A H E r K V A y + n W H d 5 7 + f i G V e Z y T Y e x y i W j u l 5 E + V P 9 y 6 m 2 P q C B B X A o q 0 g e i J S x n W C i e A e X s p + 8 S x L x C o 1 Y c 8 O B I o + K F O T 1 l E g c S V L A Q C A s s f X q I U A A A A / r 0 w + 1 B D D F O Z v 1 S k N 7 P g J k 4 Y a C 4 = < / D a t a M a s h u p > 
</file>

<file path=customXml/itemProps1.xml><?xml version="1.0" encoding="utf-8"?>
<ds:datastoreItem xmlns:ds="http://schemas.openxmlformats.org/officeDocument/2006/customXml" ds:itemID="{88281996-F188-455F-BADF-451A0C09B12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15</vt:i4>
      </vt:variant>
    </vt:vector>
  </HeadingPairs>
  <TitlesOfParts>
    <vt:vector size="24" baseType="lpstr">
      <vt:lpstr>Övezetek, egyéb területek</vt:lpstr>
      <vt:lpstr>Védett övezetek</vt:lpstr>
      <vt:lpstr>Össztömeg-korlátozott övezetek</vt:lpstr>
      <vt:lpstr>euro</vt:lpstr>
      <vt:lpstr>védett övezet árak </vt:lpstr>
      <vt:lpstr>korlátozott övezet árak</vt:lpstr>
      <vt:lpstr>Szorzószámok</vt:lpstr>
      <vt:lpstr>övezetek rendelet szeint</vt:lpstr>
      <vt:lpstr>Munka1</vt:lpstr>
      <vt:lpstr>baba</vt:lpstr>
      <vt:lpstr>'Védett övezetek'!bkva</vt:lpstr>
      <vt:lpstr>bubu</vt:lpstr>
      <vt:lpstr>éjszakai</vt:lpstr>
      <vt:lpstr>euro</vt:lpstr>
      <vt:lpstr>euró</vt:lpstr>
      <vt:lpstr>kedvezmeny</vt:lpstr>
      <vt:lpstr>kombi</vt:lpstr>
      <vt:lpstr>mikro</vt:lpstr>
      <vt:lpstr>'Védett övezetek'!Nyomtatási_cím</vt:lpstr>
      <vt:lpstr>'Övezetek, egyéb területek'!Nyomtatási_terület</vt:lpstr>
      <vt:lpstr>'Védett övezetek'!Nyomtatási_terület</vt:lpstr>
      <vt:lpstr>szöv</vt:lpstr>
      <vt:lpstr>telep</vt:lpstr>
      <vt:lpstr>zona</vt:lpstr>
    </vt:vector>
  </TitlesOfParts>
  <Manager/>
  <Company>F.SZ.T.  Bt.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2015-ös árak</dc:title>
  <dc:subject/>
  <dc:creator>BARNA Balázs (Budapest Közút)</dc:creator>
  <cp:keywords/>
  <dc:description>jelszo:fszt</dc:description>
  <cp:lastModifiedBy>BARNA Balázs (Budapest Közút)</cp:lastModifiedBy>
  <cp:revision/>
  <dcterms:created xsi:type="dcterms:W3CDTF">1997-12-22T13:56:51Z</dcterms:created>
  <dcterms:modified xsi:type="dcterms:W3CDTF">2024-12-23T08:22:54Z</dcterms:modified>
  <cp:category/>
  <cp:contentStatus/>
</cp:coreProperties>
</file>